
<file path=[Content_Types].xml><?xml version="1.0" encoding="utf-8"?>
<Types xmlns="http://schemas.openxmlformats.org/package/2006/content-types">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xl/worksheets/sheet9.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_rels/sheet2.xml.rels" ContentType="application/vnd.openxmlformats-package.relationships+xml"/>
  <Override PartName="/xl/worksheets/_rels/sheet3.xml.rels" ContentType="application/vnd.openxmlformats-package.relationships+xml"/>
  <Override PartName="/xl/worksheets/_rels/sheet8.xml.rels" ContentType="application/vnd.openxmlformats-package.relationships+xml"/>
  <Override PartName="/xl/worksheets/_rels/sheet9.xml.rels" ContentType="application/vnd.openxmlformats-package.relationships+xml"/>
  <Override PartName="/xl/worksheets/sheet12.xml" ContentType="application/vnd.openxmlformats-officedocument.spreadsheetml.worksheet+xml"/>
  <Override PartName="/xl/worksheets/sheet13.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xl/sharedStrings.xml" ContentType="application/vnd.openxmlformats-officedocument.spreadsheetml.sharedString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_rels/drawing1.xml.rels" ContentType="application/vnd.openxmlformats-package.relationships+xml"/>
  <Override PartName="/xl/drawings/_rels/drawing2.xml.rels" ContentType="application/vnd.openxmlformats-package.relationships+xml"/>
  <Override PartName="/xl/drawings/_rels/drawing3.xml.rels" ContentType="application/vnd.openxmlformats-package.relationships+xml"/>
  <Override PartName="/xl/drawings/_rels/drawing4.xml.rels" ContentType="application/vnd.openxmlformats-package.relationships+xml"/>
  <Override PartName="/xl/_rels/workbook.xml.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Ht&amp;Wt" sheetId="1" state="visible" r:id="rId2"/>
    <sheet name="Female Spiro" sheetId="2" state="visible" r:id="rId3"/>
    <sheet name="Male Spiro" sheetId="3" state="visible" r:id="rId4"/>
    <sheet name="Spiro Ref" sheetId="4" state="visible" r:id="rId5"/>
    <sheet name="Female LVol" sheetId="5" state="visible" r:id="rId6"/>
    <sheet name="Male LVol" sheetId="6" state="visible" r:id="rId7"/>
    <sheet name="LVol Ref" sheetId="7" state="visible" r:id="rId8"/>
    <sheet name="Female DLCO" sheetId="8" state="visible" r:id="rId9"/>
    <sheet name="Male DLCO" sheetId="9" state="visible" r:id="rId10"/>
    <sheet name="DLCO Ref" sheetId="10" state="visible" r:id="rId11"/>
    <sheet name="Female 6MWT" sheetId="11" state="visible" r:id="rId12"/>
    <sheet name="Male 6MWT" sheetId="12" state="visible" r:id="rId13"/>
    <sheet name="6MWT Ref" sheetId="13" state="visible" r:id="rId14"/>
  </sheets>
  <definedNames>
    <definedName function="false" hidden="false" name="age" vbProcedure="false">'Ht&amp;Wt'!$B$3</definedName>
    <definedName function="false" hidden="false" name="BMI" vbProcedure="false">'Ht&amp;Wt'!$B$7</definedName>
    <definedName function="false" hidden="false" name="BSA" vbProcedure="false">'Ht&amp;Wt'!$B$8</definedName>
    <definedName function="false" hidden="false" name="Dage" vbProcedure="false">'Male DLCO'!$A$24</definedName>
    <definedName function="false" hidden="false" name="ht" vbProcedure="false">'Ht&amp;Wt'!$B$4</definedName>
    <definedName function="false" hidden="false" name="wt" vbProcedure="false">'Ht&amp;Wt'!$B$5</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<sst xmlns="http://schemas.openxmlformats.org/spreadsheetml/2006/main" count="668" uniqueCount="362">
  <si>
    <t xml:space="preserve">PFT Adult Reference Equations:</t>
  </si>
  <si>
    <t xml:space="preserve">Age:</t>
  </si>
  <si>
    <t xml:space="preserve">Height (cm):</t>
  </si>
  <si>
    <t xml:space="preserve">Weight (kg):</t>
  </si>
  <si>
    <t xml:space="preserve">BMI:</t>
  </si>
  <si>
    <t xml:space="preserve">BSA:</t>
  </si>
  <si>
    <t xml:space="preserve">Female Spirometry Reference Equations:</t>
  </si>
  <si>
    <t xml:space="preserve">Females:</t>
  </si>
  <si>
    <t xml:space="preserve">FVC:</t>
  </si>
  <si>
    <t xml:space="preserve">FEV1:</t>
  </si>
  <si>
    <t xml:space="preserve">FEV3:</t>
  </si>
  <si>
    <t xml:space="preserve">FEV6:</t>
  </si>
  <si>
    <t xml:space="preserve">PEF:</t>
  </si>
  <si>
    <t xml:space="preserve">FEF25-75:</t>
  </si>
  <si>
    <t xml:space="preserve">FEV1/FVC:</t>
  </si>
  <si>
    <t xml:space="preserve">FEV1/FEV6:</t>
  </si>
  <si>
    <t xml:space="preserve">FEV3/FVC:</t>
  </si>
  <si>
    <t xml:space="preserve">[A] white</t>
  </si>
  <si>
    <t xml:space="preserve">[A] black</t>
  </si>
  <si>
    <t xml:space="preserve">[A] hispanic</t>
  </si>
  <si>
    <t xml:space="preserve">[B] white</t>
  </si>
  <si>
    <t xml:space="preserve">[C] white</t>
  </si>
  <si>
    <t xml:space="preserve">[D] white</t>
  </si>
  <si>
    <t xml:space="preserve">[E] white</t>
  </si>
  <si>
    <t xml:space="preserve">[F] white</t>
  </si>
  <si>
    <t xml:space="preserve">[H] American Indian</t>
  </si>
  <si>
    <t xml:space="preserve">[I] White</t>
  </si>
  <si>
    <t xml:space="preserve"> </t>
  </si>
  <si>
    <t xml:space="preserve">[I] Black</t>
  </si>
  <si>
    <t xml:space="preserve">[I] Hispanic</t>
  </si>
  <si>
    <t xml:space="preserve">[J] Asian Indian</t>
  </si>
  <si>
    <t xml:space="preserve">[K] Chinese</t>
  </si>
  <si>
    <t xml:space="preserve">[L] Malaysian</t>
  </si>
  <si>
    <t xml:space="preserve">[M] White</t>
  </si>
  <si>
    <t xml:space="preserve">[N] Black</t>
  </si>
  <si>
    <t xml:space="preserve">[O] Jewish-A</t>
  </si>
  <si>
    <t xml:space="preserve">[O] Jewish-S</t>
  </si>
  <si>
    <t xml:space="preserve">[P] Black</t>
  </si>
  <si>
    <t xml:space="preserve">[Q] White</t>
  </si>
  <si>
    <t xml:space="preserve">[S] White</t>
  </si>
  <si>
    <t xml:space="preserve">[S] Black</t>
  </si>
  <si>
    <t xml:space="preserve">[S] Hispanic</t>
  </si>
  <si>
    <t xml:space="preserve">[T] White</t>
  </si>
  <si>
    <t xml:space="preserve">[U] Iranian</t>
  </si>
  <si>
    <t xml:space="preserve">[V] Saudi</t>
  </si>
  <si>
    <t xml:space="preserve">[W] Filipino</t>
  </si>
  <si>
    <t xml:space="preserve">[X] Korean</t>
  </si>
  <si>
    <t xml:space="preserve">[Y] White</t>
  </si>
  <si>
    <t xml:space="preserve">[Z] Iranian</t>
  </si>
  <si>
    <t xml:space="preserve">[AA] Ethiopian Jewish</t>
  </si>
  <si>
    <t xml:space="preserve">[AB] Hispanic</t>
  </si>
  <si>
    <t xml:space="preserve">[AC] Northern Indian</t>
  </si>
  <si>
    <t xml:space="preserve">Average</t>
  </si>
  <si>
    <t xml:space="preserve">Male Spirometry Reference Equations:</t>
  </si>
  <si>
    <t xml:space="preserve">Males:</t>
  </si>
  <si>
    <t xml:space="preserve">[A] White</t>
  </si>
  <si>
    <t xml:space="preserve">[A] Black</t>
  </si>
  <si>
    <t xml:space="preserve">[A] Hispanic</t>
  </si>
  <si>
    <t xml:space="preserve">[B] White</t>
  </si>
  <si>
    <t xml:space="preserve">[C] White</t>
  </si>
  <si>
    <t xml:space="preserve">[D] White</t>
  </si>
  <si>
    <t xml:space="preserve">[E] White</t>
  </si>
  <si>
    <t xml:space="preserve">[F] White</t>
  </si>
  <si>
    <t xml:space="preserve">[G] Japanese-American</t>
  </si>
  <si>
    <t xml:space="preserve">[R] Chinese</t>
  </si>
  <si>
    <t xml:space="preserve">Spirometry Reference Equation Sources:</t>
  </si>
  <si>
    <t xml:space="preserve">Ethnicity:</t>
  </si>
  <si>
    <t xml:space="preserve">#Female:</t>
  </si>
  <si>
    <t xml:space="preserve">Female Ages:</t>
  </si>
  <si>
    <t xml:space="preserve">#Male:</t>
  </si>
  <si>
    <t xml:space="preserve">Male Ages:</t>
  </si>
  <si>
    <t xml:space="preserve">[A]</t>
  </si>
  <si>
    <t xml:space="preserve">White</t>
  </si>
  <si>
    <t xml:space="preserve">21-80</t>
  </si>
  <si>
    <t xml:space="preserve">Hankinson JL, Odencrantz JR, Fedan, KB.  Spirometric reference values from a sample of the general U.S. Population.  Amer J Resp Crit Care 1999; 159: 179-187 </t>
  </si>
  <si>
    <t xml:space="preserve">Black</t>
  </si>
  <si>
    <t xml:space="preserve">Hispanic</t>
  </si>
  <si>
    <t xml:space="preserve">[B]</t>
  </si>
  <si>
    <t xml:space="preserve">20-79</t>
  </si>
  <si>
    <t xml:space="preserve">Gutierrez C, et al.  Reference values of pulmonary function tests for Canadian caucasians.  Can Respir J  2004; 6: 414-424.</t>
  </si>
  <si>
    <t xml:space="preserve">[C]</t>
  </si>
  <si>
    <t xml:space="preserve">20-84</t>
  </si>
  <si>
    <t xml:space="preserve">Morris JF, Koski A, Johnson LC.  Spirometric standards for healthy nonsmoking adults.  Am Rev Resp Dis 1971; 103: 57-67.</t>
  </si>
  <si>
    <t xml:space="preserve">[D]</t>
  </si>
  <si>
    <t xml:space="preserve">Not stated</t>
  </si>
  <si>
    <t xml:space="preserve">Morris JF, Koski A, Temple WP, Claremont A, Thomas DR.  Fifteen-year interval spirometric evaluation of the Oregon Predictive equations.  Chest 1988; 93: 123-27</t>
  </si>
  <si>
    <t xml:space="preserve">[E]</t>
  </si>
  <si>
    <t xml:space="preserve">20-69</t>
  </si>
  <si>
    <t xml:space="preserve">25-70</t>
  </si>
  <si>
    <t xml:space="preserve">Knudson RJ, Lebowitz MD, Holberg CJ, Burrows B.  Changes in the normal maximal expiratory flow volume curve with growth and aging.  Am Rev Resp Dis 1983; 127: 725-734</t>
  </si>
  <si>
    <t xml:space="preserve">[F]</t>
  </si>
  <si>
    <t xml:space="preserve">27-82</t>
  </si>
  <si>
    <t xml:space="preserve">Johannessen A, Lehmann S, Omenaas ER, Side GE, Bakke PS, Gulsvik A.  Post-bronchodilator spirometry reference values in Adults and implications for disease mangement.  Amer J Resp Crit Care Med 2006; 173(12): 1316-1325</t>
  </si>
  <si>
    <t xml:space="preserve">[G]</t>
  </si>
  <si>
    <t xml:space="preserve">Japanese-American</t>
  </si>
  <si>
    <t xml:space="preserve">0</t>
  </si>
  <si>
    <t xml:space="preserve">45-68</t>
  </si>
  <si>
    <t xml:space="preserve">Marcus EB, MacLean CJ, Curb JD, Johnson LR, Vollmer WM, Buist AS.  Reference Values for FEV1 in Japanese-American Men from 45 to 68 years of age.  Am Rev Respir Dis 1988; 138:1393-1397</t>
  </si>
  <si>
    <t xml:space="preserve">[H]</t>
  </si>
  <si>
    <t xml:space="preserve">American Indian</t>
  </si>
  <si>
    <t xml:space="preserve">45-74</t>
  </si>
  <si>
    <t xml:space="preserve">Marion MS, Leonardson GR, Rhoades ER, Welty TK, Enright PL.  Spirometry reference values for American Indian adults.  Chest 2001; 120: 489-495</t>
  </si>
  <si>
    <t xml:space="preserve">[I] </t>
  </si>
  <si>
    <t xml:space="preserve">20-80</t>
  </si>
  <si>
    <t xml:space="preserve">18-80</t>
  </si>
  <si>
    <t xml:space="preserve">Hankinson JL, Crapo RO, Jensen RL.  Spirometric reference values for the 6-s FVC maneuver.  Chest 2003; 124: 1805-1811.</t>
  </si>
  <si>
    <t xml:space="preserve">[J]</t>
  </si>
  <si>
    <t xml:space="preserve">Asian Indian</t>
  </si>
  <si>
    <t xml:space="preserve">16-80</t>
  </si>
  <si>
    <t xml:space="preserve">Fulambarker A, Copur AS, Javen A, Jere S, Cohen ME.  Reference values for pulmonary function in Asian Indians living in the United States.  Chest 2004; 126: 1225-1233</t>
  </si>
  <si>
    <t xml:space="preserve">[K]</t>
  </si>
  <si>
    <t xml:space="preserve">Chinese</t>
  </si>
  <si>
    <t xml:space="preserve">595</t>
  </si>
  <si>
    <t xml:space="preserve">494</t>
  </si>
  <si>
    <t xml:space="preserve">Ip MS, Ko FW, Lau AC, Yu W, Tang K, Choo K, MM Chan-Yeung.  Updated spirometric reference values for Adult Chinese in Hong Kong and implications on clinical utilization.  Chest 2006; 129: 384-392.</t>
  </si>
  <si>
    <t xml:space="preserve">[L]</t>
  </si>
  <si>
    <t xml:space="preserve">Malaysian</t>
  </si>
  <si>
    <t xml:space="preserve">614</t>
  </si>
  <si>
    <t xml:space="preserve">1385</t>
  </si>
  <si>
    <t xml:space="preserve">Singh R, Singh HJ, Sirisinghe RG.  Spirometric studies in Malayasian between 13 and 69 years of age.  Med J Malaysia 1993; 48: 175-184</t>
  </si>
  <si>
    <t xml:space="preserve">[M]</t>
  </si>
  <si>
    <t xml:space="preserve">102</t>
  </si>
  <si>
    <t xml:space="preserve">18-70</t>
  </si>
  <si>
    <t xml:space="preserve">110</t>
  </si>
  <si>
    <t xml:space="preserve">Marsh S, Aldington S, Williams M, Weatherall M, Shirtcliffe P, McNaughton A, Pritchard A, Beaseley R.  Complete reference ranges for pulmonary function tests from a single New Zealand population.  New Zealand Med J 2006; 119: N1244.</t>
  </si>
  <si>
    <t xml:space="preserve">[N] </t>
  </si>
  <si>
    <t xml:space="preserve">205</t>
  </si>
  <si>
    <t xml:space="preserve">18-90</t>
  </si>
  <si>
    <t xml:space="preserve">206</t>
  </si>
  <si>
    <t xml:space="preserve">18-85</t>
  </si>
  <si>
    <t xml:space="preserve">Perfura-Yone EW, Kanko-Nguekam NF, Kengne AP, Balkissou AD, Noseda A, Kuaban C.  Spirometric Reference Equations for semi-urban and urban Bantu Cameroonians.  Open J Resp Dis 2013; 3: 164-174.</t>
  </si>
  <si>
    <t xml:space="preserve">[O]</t>
  </si>
  <si>
    <t xml:space="preserve">Jewish-Ashkenazi</t>
  </si>
  <si>
    <t xml:space="preserve">663</t>
  </si>
  <si>
    <t xml:space="preserve">20-74</t>
  </si>
  <si>
    <t xml:space="preserve">1154</t>
  </si>
  <si>
    <t xml:space="preserve">21-79</t>
  </si>
  <si>
    <t xml:space="preserve">Steinvil A, Fireman E, Wolach O, Rebhun U, Cohen M, Shapira I, Berliner S, Rogowski O.  The effect of ethnic origin on pumonary prediction equations in a Jewish immigrant population.  Respiratory Medicine 2008; 102: 919-926.</t>
  </si>
  <si>
    <t xml:space="preserve">Jewish-Sephardic</t>
  </si>
  <si>
    <t xml:space="preserve">547</t>
  </si>
  <si>
    <t xml:space="preserve">786</t>
  </si>
  <si>
    <t xml:space="preserve">21-84</t>
  </si>
  <si>
    <t xml:space="preserve">[P]</t>
  </si>
  <si>
    <t xml:space="preserve">117</t>
  </si>
  <si>
    <t xml:space="preserve">18-47</t>
  </si>
  <si>
    <t xml:space="preserve">143</t>
  </si>
  <si>
    <t xml:space="preserve">Mengesha YA, Mekonnen Y.  Spirometric lung function tests in normal non-smoking Ethiopian men and women.  Thorax 1985; 465-468.</t>
  </si>
  <si>
    <t xml:space="preserve">[Q]</t>
  </si>
  <si>
    <t xml:space="preserve">96</t>
  </si>
  <si>
    <t xml:space="preserve">18 to &gt;70</t>
  </si>
  <si>
    <t xml:space="preserve">83</t>
  </si>
  <si>
    <t xml:space="preserve">Roberts CM, MacRae KD, Winning AJ, Adams L, Seed WA.  Reference values and prediction equations for normal lung function in a non-smoking white urban population.  Thorax 1991; 46: 643-650.</t>
  </si>
  <si>
    <t xml:space="preserve">[R]</t>
  </si>
  <si>
    <t xml:space="preserve">440</t>
  </si>
  <si>
    <t xml:space="preserve">Lam DCL, Fong DYT, Yu WC, Ko FWS, Lau ACW, Chan JWM, Choo KL, Mok TYW, Tam CY, Ip MSM, Chan-Yeung MMW.  FEV3, FEV6 and their derivatives for detecting airflow obstruction in adult Chinese.  Int J Tuberc Lung Dis 2012; 16(5): 681-686.</t>
  </si>
  <si>
    <t xml:space="preserve">[S]</t>
  </si>
  <si>
    <t xml:space="preserve">Hansen JE, Sun XG, Wasserman K.  Discriminating measures and normal values for expiratory obstruction.  Chest 2006; 129: 369-377.</t>
  </si>
  <si>
    <t xml:space="preserve">[T]</t>
  </si>
  <si>
    <t xml:space="preserve">25 to &gt;75</t>
  </si>
  <si>
    <t xml:space="preserve">20 to &gt;75</t>
  </si>
  <si>
    <t xml:space="preserve">Pereira CADC, Sato T, Rodrigues SC.  New Reference Values for forced spirometry in white adults in Brazil. J Bras Pneumol 2007; 33: 397-406.</t>
  </si>
  <si>
    <t xml:space="preserve">[U]</t>
  </si>
  <si>
    <t xml:space="preserve">Iranian</t>
  </si>
  <si>
    <t xml:space="preserve">17-82</t>
  </si>
  <si>
    <t xml:space="preserve">Razi E, Moosavi GHA, Akbari H.  Spirometric standards for healthy Iranians dwelling in the centre of Iran.  Tanoffos 2005; 4(15): 19-26.</t>
  </si>
  <si>
    <t xml:space="preserve">[V]</t>
  </si>
  <si>
    <t xml:space="preserve">Saudi</t>
  </si>
  <si>
    <t xml:space="preserve">18-65</t>
  </si>
  <si>
    <t xml:space="preserve">Al Ghobain MO, Ahamad EH, Alorainy HS, Hazmi MA, Al Moamary MS, Al-Hajjaj MS, Idress M, Al-Jahdali H, Zeitouni M.  Spirometric reference standards for healthy nonsmoking Saudi adults.  Clinical Respir J 2014; 8: 72-78.</t>
  </si>
  <si>
    <t xml:space="preserve">[W]</t>
  </si>
  <si>
    <t xml:space="preserve">Filipino</t>
  </si>
  <si>
    <t xml:space="preserve">16-68</t>
  </si>
  <si>
    <t xml:space="preserve">17-78</t>
  </si>
  <si>
    <t xml:space="preserve">Roa CC, Zaldivar CA, Salonga RC, Bobadilla J, Lansang MA, Reodica R, Balgos A, Blanco J, Tanchuco JQ.  Normal standards for ventilatory function in adult Filipinos.  Phillipine J Internal Med, 2013; 51(1): 1-6.</t>
  </si>
  <si>
    <t xml:space="preserve">[X]</t>
  </si>
  <si>
    <t xml:space="preserve">Korean</t>
  </si>
  <si>
    <t xml:space="preserve">694</t>
  </si>
  <si>
    <t xml:space="preserve">20+</t>
  </si>
  <si>
    <t xml:space="preserve">926</t>
  </si>
  <si>
    <t xml:space="preserve">Oh YM, Hong SB, Shim TS, Lim CM, Koh Y, Kim WS, Kim DS, Kim WD, Kim YS, Lee SD.  Effect of a new spirometric reference equation on the interpretation of spirometric patterns and disease severity.  Tuber Respir Dis 2006; 60: 215-220.</t>
  </si>
  <si>
    <t xml:space="preserve">[Y]</t>
  </si>
  <si>
    <t xml:space="preserve">7009</t>
  </si>
  <si>
    <t xml:space="preserve">4565</t>
  </si>
  <si>
    <t xml:space="preserve">Kuster SP, Kuster D, Schindler C, Rochat MK, Braun J, Held L, Brandli O.  Reference equations for lung function screening of healthy never-smoking adults aged 18-80 years.  Eur Respir J 2008; 31: 860-868.</t>
  </si>
  <si>
    <t xml:space="preserve">[Z]</t>
  </si>
  <si>
    <t xml:space="preserve">1110</t>
  </si>
  <si>
    <t xml:space="preserve">1302</t>
  </si>
  <si>
    <t xml:space="preserve">Golshan M, Nematbakhsh M, Amra B, Crapo RO.  Spirometric reference values for a large Middle Eastern population.  Eur Respir J 2003; 22: 529-534.</t>
  </si>
  <si>
    <t xml:space="preserve">[AA]</t>
  </si>
  <si>
    <t xml:space="preserve">Ethiopian Jewish</t>
  </si>
  <si>
    <t xml:space="preserve">45</t>
  </si>
  <si>
    <t xml:space="preserve">47</t>
  </si>
  <si>
    <t xml:space="preserve">Bibi H, Goldsmith JR, Vardi H.  Racial or ethnic variations in spirometric lung function norms. Recommendations based on study of Ethiopian Jews.  Chest 1988; 93(5): 1026-1030.</t>
  </si>
  <si>
    <t xml:space="preserve">[AB]</t>
  </si>
  <si>
    <t xml:space="preserve">116</t>
  </si>
  <si>
    <t xml:space="preserve">25-75</t>
  </si>
  <si>
    <t xml:space="preserve">Crapo RO, Jensen RL, Lockey JA, Aldrich V, Elliott CG.  Normal spirometric values in healthy Hispanic Americans.  Chest 1990; 98(6):1435-1439.</t>
  </si>
  <si>
    <t xml:space="preserve">[AC]</t>
  </si>
  <si>
    <t xml:space="preserve">Northern Indian</t>
  </si>
  <si>
    <t xml:space="preserve">540</t>
  </si>
  <si>
    <t xml:space="preserve">15-74</t>
  </si>
  <si>
    <t xml:space="preserve">422</t>
  </si>
  <si>
    <t xml:space="preserve">Jindal SK, Wahi PL. Pulmonary function laboratory in the tropics: needs, problems and solutions. In: Sharma OP, editor. Lung disease in the tropics. New York: Marcel Dekker; 1991: 523–542.</t>
  </si>
  <si>
    <t xml:space="preserve">Female Lung Volume Reference Equations:</t>
  </si>
  <si>
    <t xml:space="preserve">TLC:</t>
  </si>
  <si>
    <t xml:space="preserve">FRC:</t>
  </si>
  <si>
    <t xml:space="preserve">RV:</t>
  </si>
  <si>
    <t xml:space="preserve">VC:</t>
  </si>
  <si>
    <t xml:space="preserve">IC:</t>
  </si>
  <si>
    <t xml:space="preserve">ERV:</t>
  </si>
  <si>
    <t xml:space="preserve">RV/TLC:</t>
  </si>
  <si>
    <t xml:space="preserve">[A] Chinese</t>
  </si>
  <si>
    <t xml:space="preserve">[B] Chinese</t>
  </si>
  <si>
    <t xml:space="preserve">[E] White-He</t>
  </si>
  <si>
    <t xml:space="preserve">[E] White-Pl</t>
  </si>
  <si>
    <t xml:space="preserve">[F] Iran</t>
  </si>
  <si>
    <t xml:space="preserve">[G] White</t>
  </si>
  <si>
    <t xml:space="preserve">[I] Brazilian</t>
  </si>
  <si>
    <t xml:space="preserve">[J] White</t>
  </si>
  <si>
    <t xml:space="preserve">[K] White</t>
  </si>
  <si>
    <t xml:space="preserve">[L] Asian Indian</t>
  </si>
  <si>
    <t xml:space="preserve">[M] Asian Indian</t>
  </si>
  <si>
    <t xml:space="preserve">[N] White</t>
  </si>
  <si>
    <t xml:space="preserve">[O] White</t>
  </si>
  <si>
    <t xml:space="preserve">Average </t>
  </si>
  <si>
    <t xml:space="preserve">Male Lung Volume Reference Equations:</t>
  </si>
  <si>
    <t xml:space="preserve">[H] White</t>
  </si>
  <si>
    <t xml:space="preserve">Lung Volume Reference Equation Sources:</t>
  </si>
  <si>
    <t xml:space="preserve">[A] </t>
  </si>
  <si>
    <t xml:space="preserve">17-56</t>
  </si>
  <si>
    <t xml:space="preserve">Ching B.  Horsfall PAL.  Lung volumes in normal Cantonese subjects: preliminary studies.  Thorax  1977; 32: 352-355</t>
  </si>
  <si>
    <t xml:space="preserve">[B]  </t>
  </si>
  <si>
    <t xml:space="preserve">Chuan PS, Chia M.  Respiratory function test in normal adult Chinese in Singapore.  Singapore Med J  1969; 110: 265-271.</t>
  </si>
  <si>
    <t xml:space="preserve">[C]  </t>
  </si>
  <si>
    <t xml:space="preserve">286</t>
  </si>
  <si>
    <t xml:space="preserve">18-88</t>
  </si>
  <si>
    <t xml:space="preserve">305</t>
  </si>
  <si>
    <t xml:space="preserve">Cordero PJ, Morales P, Benlloch E, Miravet L, Cebrian J.  Static Lung Volume: Reference values from a Latin population of Spanish descent.  Respiration  1999; 66: 242-250.</t>
  </si>
  <si>
    <t xml:space="preserve">[D] </t>
  </si>
  <si>
    <t xml:space="preserve">17-84</t>
  </si>
  <si>
    <t xml:space="preserve">15-91</t>
  </si>
  <si>
    <t xml:space="preserve">Crapo RO, Morris AH, Clayton PD, Nixon CR.  Lung volume in healthy nonsmoking adults.  Bull Eur Physiopathol Respir  1983; 18: 419-425</t>
  </si>
  <si>
    <t xml:space="preserve">[E] </t>
  </si>
  <si>
    <t xml:space="preserve">189</t>
  </si>
  <si>
    <t xml:space="preserve">65-80</t>
  </si>
  <si>
    <t xml:space="preserve">132</t>
  </si>
  <si>
    <t xml:space="preserve">Garcia-Rio F, Dorgham A, Pino JM, Villasante C, Garcia-Quero C, Alvarez-Sala R.  Lung volume reference values for women and Men 65-85 years of age.  Am J Respir Crit Care Med  2009; 180: 1083-1091.</t>
  </si>
  <si>
    <t xml:space="preserve">[F]  </t>
  </si>
  <si>
    <t xml:space="preserve">642</t>
  </si>
  <si>
    <t xml:space="preserve">6-85</t>
  </si>
  <si>
    <t xml:space="preserve">845</t>
  </si>
  <si>
    <t xml:space="preserve">Golshan M, Amra B, Soltani F, Crapo RO.  Reference values for lung volumes in an Iranian population. Introuducing a new equation model.  Arch Iranian Med  2009; 12(3): 256-261</t>
  </si>
  <si>
    <t xml:space="preserve">[G]  </t>
  </si>
  <si>
    <t xml:space="preserve">[H]  </t>
  </si>
  <si>
    <t xml:space="preserve">237</t>
  </si>
  <si>
    <t xml:space="preserve">34.7 +/-11.7</t>
  </si>
  <si>
    <t xml:space="preserve">Lapp NL, Amandus HE, Hall R, Morgan WKC.  Lung volumes and flow rates in black and white subjects.  Thorax 1974; 29: 185-188.</t>
  </si>
  <si>
    <t xml:space="preserve">79</t>
  </si>
  <si>
    <t xml:space="preserve">34.9 +/-11.9</t>
  </si>
  <si>
    <t xml:space="preserve">Brazilian</t>
  </si>
  <si>
    <t xml:space="preserve">50</t>
  </si>
  <si>
    <t xml:space="preserve">Neder JA, Andreoni S, Castelo-Filho A, Nery LE.  Reference values for lung function tests. I. Static Volume.  Braz J Med Biol Res  1999; 32: 703-717</t>
  </si>
  <si>
    <t xml:space="preserve">[J]  </t>
  </si>
  <si>
    <t xml:space="preserve">182</t>
  </si>
  <si>
    <t xml:space="preserve">20-70</t>
  </si>
  <si>
    <t xml:space="preserve">300</t>
  </si>
  <si>
    <t xml:space="preserve">Roca J, et al.  Prediction equations for plethysmographic lung volumes.  Respir Med  1998; 92: 454-460.</t>
  </si>
  <si>
    <t xml:space="preserve">[K]  </t>
  </si>
  <si>
    <t xml:space="preserve">Stocks J, Quanjer PH.  Reference values for residual volume, function residual capacity and total lung capacity.  Eur Respir J  1995; 8: 492-506.</t>
  </si>
  <si>
    <t xml:space="preserve">[L] </t>
  </si>
  <si>
    <t xml:space="preserve">Upwadia FE, Sunavala JD, Shetye VM.  Lung function studies in in healthy Indian subjects.  J Ass Phys India  1987; 36: 491-496</t>
  </si>
  <si>
    <t xml:space="preserve">[N]</t>
  </si>
  <si>
    <t xml:space="preserve">Female DLCO Reference Equations:</t>
  </si>
  <si>
    <t xml:space="preserve">[E] Chinese</t>
  </si>
  <si>
    <t xml:space="preserve">[L] White</t>
  </si>
  <si>
    <t xml:space="preserve">[N] Chinese</t>
  </si>
  <si>
    <t xml:space="preserve">[P] North Indian</t>
  </si>
  <si>
    <t xml:space="preserve">Male DLCO Reference Equations:</t>
  </si>
  <si>
    <t xml:space="preserve">DLCO:</t>
  </si>
  <si>
    <t xml:space="preserve">DLCO Reference Equation Sources:</t>
  </si>
  <si>
    <t xml:space="preserve">Crapo RO, Morris AH.  Standardized single-breath normal values for carbon monoxide diffusing capacity.  Am Rev Resp Dis 1981; 123: 185-189.</t>
  </si>
  <si>
    <t xml:space="preserve">[B] </t>
  </si>
  <si>
    <t xml:space="preserve">98 M+F</t>
  </si>
  <si>
    <t xml:space="preserve">Not specified</t>
  </si>
  <si>
    <t xml:space="preserve">Not Specified</t>
  </si>
  <si>
    <t xml:space="preserve">Gaensler EA, Smith AA.  Attachment for automated single-breath diffusing capacity measurement.  Chest 1973; 63: 136-145.</t>
  </si>
  <si>
    <t xml:space="preserve">[C] </t>
  </si>
  <si>
    <t xml:space="preserve">185</t>
  </si>
  <si>
    <t xml:space="preserve">15-70</t>
  </si>
  <si>
    <t xml:space="preserve">119</t>
  </si>
  <si>
    <t xml:space="preserve">Gulsvik A, Bakke P, Humerfelt S, Omenaas E, Tostenson T, Weiss ST, Speizer FE.  Single breath transfer factor for carbon monoxide in an asymptomatic population of never smokers.  Thorax 1992; 47: 167-173.</t>
  </si>
  <si>
    <t xml:space="preserve">Gutierrez C, Ghezzo RH, Abboud RT, Cosio MG, Dill JR, Martin RR, McCarthy DS, Moorse JLC, Zamel N.  Reference values of pulmonary function tests for Canadian Caucasians.  Can Respir J 2004; 11(6): 414-424.</t>
  </si>
  <si>
    <t xml:space="preserve">309</t>
  </si>
  <si>
    <t xml:space="preserve">259</t>
  </si>
  <si>
    <t xml:space="preserve">IP MSM, Lai AYK, Ko FWS, Lau ACW, Ling SO, Chan JWM, Chan-Yeung MMW.  Reference values of diffusing capacity on non-smoking Chinese in Hong Kong.  Respirilogy 2007; 12: 599-606</t>
  </si>
  <si>
    <t xml:space="preserve">[F] </t>
  </si>
  <si>
    <t xml:space="preserve">99</t>
  </si>
  <si>
    <t xml:space="preserve">25-85</t>
  </si>
  <si>
    <t xml:space="preserve">71</t>
  </si>
  <si>
    <t xml:space="preserve">Knudsen RJ, Kaltenborn WT, Knudsen DE, Burrows B.  The single-breath carbon monoxide diffusing capacity.  Am Rev Resp Dis 1987; 135: 805-811.</t>
  </si>
  <si>
    <t xml:space="preserve">[G] </t>
  </si>
  <si>
    <t xml:space="preserve">[H] </t>
  </si>
  <si>
    <t xml:space="preserve">157</t>
  </si>
  <si>
    <t xml:space="preserve">135</t>
  </si>
  <si>
    <t xml:space="preserve">Miller A, Thornton JC, Warshaw R, Anderson H, Teirstein AS, Selikoff IJ.  Single breath diffusing capacity in a representative of Michigan, a large industrial state.  Am Rev Resp Dis 1983; 127: 270-277.</t>
  </si>
  <si>
    <t xml:space="preserve">Neder JA, Andreoni S, Peres C, Nery IE.  Reference values for lung finction.  III. Carbon monoxide diffusing capacity (transfer factor).  Braz J Med Biol Res 1999; 32: 729-737.</t>
  </si>
  <si>
    <t xml:space="preserve">[J] </t>
  </si>
  <si>
    <t xml:space="preserve">74</t>
  </si>
  <si>
    <t xml:space="preserve">18-64</t>
  </si>
  <si>
    <t xml:space="preserve">81</t>
  </si>
  <si>
    <t xml:space="preserve">19-64</t>
  </si>
  <si>
    <t xml:space="preserve">Paoletti P, et al.  Reference equations for the single-breath diffusing capacity.  Am Rev Resp Dis 1985; 132: 806-813.</t>
  </si>
  <si>
    <t xml:space="preserve">[K] </t>
  </si>
  <si>
    <t xml:space="preserve">194</t>
  </si>
  <si>
    <t xml:space="preserve">233</t>
  </si>
  <si>
    <t xml:space="preserve">Roca J, Rodrigue-Roisin R, Cobo E, Burgos F, Perez J, Clausen JL.  Single-breath carbon monoxide diffusing capacity prediction equations from a Mediterranean population.  Am Rev Resp Dis 1990; 141: 1025-1032</t>
  </si>
  <si>
    <t xml:space="preserve">[M] </t>
  </si>
  <si>
    <t xml:space="preserve">15-40</t>
  </si>
  <si>
    <t xml:space="preserve">130</t>
  </si>
  <si>
    <t xml:space="preserve">Vijayan VK, Kuppurao KV, Venkatesan P, Sankaran K, Prabhakar.  Pulmonary function in healthy young adult Indians in Madras.  Thorax 1990; 45: 611-615.</t>
  </si>
  <si>
    <t xml:space="preserve">125</t>
  </si>
  <si>
    <t xml:space="preserve">20-78</t>
  </si>
  <si>
    <t xml:space="preserve">180</t>
  </si>
  <si>
    <t xml:space="preserve">20-66</t>
  </si>
  <si>
    <t xml:space="preserve">Yang SC, Yang SP, Lin PJ.  Prediction equations for single-breath carbon monoxide diffusing capacity from a Chinese population.  Am Rev Resp Dis 1993; 147: 599-606.</t>
  </si>
  <si>
    <t xml:space="preserve">18-89</t>
  </si>
  <si>
    <t xml:space="preserve">Burrows B, Kasik JE, Niden AH, Barclay WR.  Clinical usefulness of the single-breath diffusing capacity test.  Am Rev Respir Dis 1961; 84: 789-806</t>
  </si>
  <si>
    <t xml:space="preserve">Northern India</t>
  </si>
  <si>
    <t xml:space="preserve">18-71</t>
  </si>
  <si>
    <t xml:space="preserve">Chhabra SK, Kumar R, Gupta AU.  Prediction equations for diffusing capacity (transfer factor) of lung for North Indians.  Lung India, 2016; 33: 479-486</t>
  </si>
  <si>
    <t xml:space="preserve">18-76</t>
  </si>
  <si>
    <t xml:space="preserve">Ayers LN, Ginsberg ML, Fein J, Wasserman K. Diffusing capacity, specific diffusing capacity and interpretatio of diffusion defects.  West J Med 1975; 123: 255-264</t>
  </si>
  <si>
    <t xml:space="preserve">Female 6MWT Distance:</t>
  </si>
  <si>
    <t xml:space="preserve">Female:</t>
  </si>
  <si>
    <t xml:space="preserve">6MWD (Meters):</t>
  </si>
  <si>
    <t xml:space="preserve">[A] Not Specified</t>
  </si>
  <si>
    <t xml:space="preserve">[B] Not Specified</t>
  </si>
  <si>
    <t xml:space="preserve">[D] Saudi</t>
  </si>
  <si>
    <t xml:space="preserve">[E] Brazilian</t>
  </si>
  <si>
    <t xml:space="preserve">Male 6MWT Distance:</t>
  </si>
  <si>
    <t xml:space="preserve">45-79</t>
  </si>
  <si>
    <t xml:space="preserve">43-77</t>
  </si>
  <si>
    <t xml:space="preserve">Enright PL, Sherril DL.  Reference Equations for the six-minute walk in healthy adults.  Amer J Respir Crit Care Med  1998;  158: 1384-1387.</t>
  </si>
  <si>
    <t xml:space="preserve">40-80</t>
  </si>
  <si>
    <t xml:space="preserve">238</t>
  </si>
  <si>
    <t xml:space="preserve">Casanova C, et al. The 6-min walk distance in health subjects: reference equations from seven countries.  Eur Respir J  2011; 37: 150-156.</t>
  </si>
  <si>
    <t xml:space="preserve">54</t>
  </si>
  <si>
    <t xml:space="preserve">20-50</t>
  </si>
  <si>
    <t xml:space="preserve">48</t>
  </si>
  <si>
    <t xml:space="preserve">Chetta A, et al.  Reference values for the 6-min walk test in healthy subjects 20-50 years old.  Respir Med  2006; 100: 1573-1578.</t>
  </si>
  <si>
    <t xml:space="preserve">111</t>
  </si>
  <si>
    <t xml:space="preserve">16-50</t>
  </si>
  <si>
    <t xml:space="preserve">127</t>
  </si>
  <si>
    <t xml:space="preserve">Alameri H, Al-Majed S, Al-Howaikan.  Six-min walk test in a health adult Arab population.  Resp Med  2009; 103: 1041-1046.</t>
  </si>
  <si>
    <t xml:space="preserve">73</t>
  </si>
  <si>
    <t xml:space="preserve">13-84</t>
  </si>
  <si>
    <t xml:space="preserve">61</t>
  </si>
  <si>
    <t xml:space="preserve">Iwama AM, Andrade GN, Shima P, Tanni SE, Godoy I, Dourado VZ.  The six-minute walk test and body weight x walk distance product in healthy Brazilian subjects.  Braz J Med Biol Res  2009; 42: 1080-1085.</t>
  </si>
  <si>
    <t xml:space="preserve">22</t>
  </si>
  <si>
    <t xml:space="preserve">50-85</t>
  </si>
  <si>
    <t xml:space="preserve">29</t>
  </si>
  <si>
    <t xml:space="preserve">Troosters T, Gosselink R, Decramer M.  Six minute walking distance in healthy elderly subjects.  Eur Respir J  1999; 14: 270-274.</t>
  </si>
</sst>
</file>

<file path=xl/styles.xml><?xml version="1.0" encoding="utf-8"?>
<styleSheet xmlns="http://schemas.openxmlformats.org/spreadsheetml/2006/main">
  <numFmts count="5">
    <numFmt numFmtId="164" formatCode="General"/>
    <numFmt numFmtId="165" formatCode="0.00"/>
    <numFmt numFmtId="166" formatCode="@"/>
    <numFmt numFmtId="167" formatCode="0.000"/>
    <numFmt numFmtId="168" formatCode="0.0"/>
  </numFmts>
  <fonts count="13">
    <font>
      <sz val="10"/>
      <name val="Arial"/>
      <family val="2"/>
    </font>
    <font>
      <sz val="10"/>
      <name val="Arial"/>
      <family val="0"/>
    </font>
    <font>
      <sz val="10"/>
      <name val="Arial"/>
      <family val="0"/>
    </font>
    <font>
      <sz val="10"/>
      <name val="Arial"/>
      <family val="0"/>
    </font>
    <font>
      <sz val="13"/>
      <color rgb="FF000000"/>
      <name val="Arial"/>
      <family val="2"/>
    </font>
    <font>
      <sz val="10"/>
      <color rgb="FF000000"/>
      <name val="Arial"/>
      <family val="2"/>
    </font>
    <font>
      <sz val="10"/>
      <name val="Liberation Mono;Courier New;DejaVu Sans Mono;Courier;Lucida Sans Typewriter"/>
      <family val="3"/>
    </font>
    <font>
      <sz val="10"/>
      <name val="Tahoma"/>
      <family val="2"/>
    </font>
    <font>
      <sz val="10"/>
      <name val="Verdana"/>
      <family val="2"/>
    </font>
    <font>
      <sz val="13"/>
      <name val="Arial"/>
      <family val="2"/>
    </font>
    <font>
      <sz val="9"/>
      <name val="Arial"/>
      <family val="2"/>
    </font>
    <font>
      <sz val="11"/>
      <name val="Verdana"/>
      <family val="2"/>
    </font>
    <font>
      <sz val="11"/>
      <name val="Tahoma"/>
      <family val="2"/>
    </font>
  </fonts>
  <fills count="3">
    <fill>
      <patternFill patternType="none"/>
    </fill>
    <fill>
      <patternFill patternType="gray125"/>
    </fill>
    <fill>
      <patternFill patternType="solid">
        <fgColor rgb="FF00FF00"/>
        <bgColor rgb="FF33CCCC"/>
      </patternFill>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9">
    <xf numFmtId="164"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2"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bottom" textRotation="0" wrapText="true" indent="0" shrinkToFit="false"/>
      <protection locked="true" hidden="false"/>
    </xf>
    <xf numFmtId="166" fontId="0" fillId="0" borderId="0" xfId="0" applyFont="false" applyBorder="false" applyAlignment="true" applyProtection="false">
      <alignment horizontal="left"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6" fontId="0" fillId="0" borderId="0" xfId="0" applyFont="true" applyBorder="false" applyAlignment="true" applyProtection="false">
      <alignment horizontal="left"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6" fontId="7"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7"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left" vertical="bottom" textRotation="0" wrapText="false" indent="0" shrinkToFit="false"/>
      <protection locked="true" hidden="false"/>
    </xf>
    <xf numFmtId="168" fontId="0" fillId="0" borderId="0" xfId="0" applyFont="false" applyBorder="false" applyAlignment="false" applyProtection="false">
      <alignment horizontal="general" vertical="bottom" textRotation="0" wrapText="false" indent="0" shrinkToFit="false"/>
      <protection locked="true" hidden="false"/>
    </xf>
    <xf numFmtId="166" fontId="12" fillId="0" borderId="0" xfId="0" applyFont="true" applyBorder="false" applyAlignment="true" applyProtection="false">
      <alignment horizontal="left"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3B3B3"/>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420E"/>
      <rgbColor rgb="FF666699"/>
      <rgbColor rgb="FF969696"/>
      <rgbColor rgb="FF00458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sz="1300" spc="-1" strike="noStrike">
                <a:solidFill>
                  <a:srgbClr val="000000"/>
                </a:solidFill>
                <a:uFill>
                  <a:solidFill>
                    <a:srgbClr val="ffffff"/>
                  </a:solidFill>
                </a:uFill>
                <a:latin typeface="Arial"/>
              </a:defRPr>
            </a:pPr>
            <a:r>
              <a:rPr b="0" sz="1300" spc="-1" strike="noStrike">
                <a:solidFill>
                  <a:srgbClr val="000000"/>
                </a:solidFill>
                <a:uFill>
                  <a:solidFill>
                    <a:srgbClr val="ffffff"/>
                  </a:solidFill>
                </a:uFill>
                <a:latin typeface="Arial"/>
              </a:rPr>
              <a:t>Female FVC &amp; FEV (L)</a:t>
            </a:r>
          </a:p>
        </c:rich>
      </c:tx>
      <c:layout>
        <c:manualLayout>
          <c:xMode val="edge"/>
          <c:yMode val="edge"/>
          <c:x val="0.367986529791972"/>
          <c:y val="0.0226914817465999"/>
        </c:manualLayout>
      </c:layout>
      <c:overlay val="0"/>
    </c:title>
    <c:autoTitleDeleted val="0"/>
    <c:plotArea>
      <c:layout>
        <c:manualLayout>
          <c:layoutTarget val="inner"/>
          <c:xMode val="edge"/>
          <c:yMode val="edge"/>
          <c:x val="0.104774319700179"/>
          <c:y val="0.104795991410165"/>
          <c:w val="0.854543479441638"/>
          <c:h val="0.610737294201861"/>
        </c:manualLayout>
      </c:layout>
      <c:barChart>
        <c:barDir val="col"/>
        <c:grouping val="clustered"/>
        <c:varyColors val="0"/>
        <c:ser>
          <c:idx val="0"/>
          <c:order val="0"/>
          <c:spPr>
            <a:solidFill>
              <a:srgbClr val="004586"/>
            </a:solidFill>
            <a:ln>
              <a:noFill/>
            </a:ln>
          </c:spPr>
          <c:invertIfNegative val="0"/>
          <c:dLbls>
            <c:showLegendKey val="0"/>
            <c:showVal val="0"/>
            <c:showCatName val="0"/>
            <c:showSerName val="0"/>
            <c:showPercent val="0"/>
            <c:showLeaderLines val="0"/>
          </c:dLbls>
          <c:cat>
            <c:strRef>
              <c:f>'Female Spiro'!$A$4:$A$12,'Female Spiro'!$A$16:$A$24,'Female Spiro'!$A$28:$A$38</c:f>
              <c:strCache>
                <c:ptCount val="29"/>
                <c:pt idx="0">
                  <c:v>[A] white</c:v>
                </c:pt>
                <c:pt idx="1">
                  <c:v>[A] black</c:v>
                </c:pt>
                <c:pt idx="2">
                  <c:v>[A] hispanic</c:v>
                </c:pt>
                <c:pt idx="3">
                  <c:v>[B] white</c:v>
                </c:pt>
                <c:pt idx="4">
                  <c:v>[C] white</c:v>
                </c:pt>
                <c:pt idx="5">
                  <c:v>[D] white</c:v>
                </c:pt>
                <c:pt idx="6">
                  <c:v>[E] white</c:v>
                </c:pt>
                <c:pt idx="7">
                  <c:v>[F] white</c:v>
                </c:pt>
                <c:pt idx="8">
                  <c:v>[H] American Indian</c:v>
                </c:pt>
                <c:pt idx="9">
                  <c:v>[J] Asian Indian</c:v>
                </c:pt>
                <c:pt idx="10">
                  <c:v>[K] Chinese</c:v>
                </c:pt>
                <c:pt idx="11">
                  <c:v>[L] Malaysian</c:v>
                </c:pt>
                <c:pt idx="12">
                  <c:v>[M] White</c:v>
                </c:pt>
                <c:pt idx="13">
                  <c:v>[N] Black</c:v>
                </c:pt>
                <c:pt idx="14">
                  <c:v>[O] Jewish-A</c:v>
                </c:pt>
                <c:pt idx="15">
                  <c:v>[O] Jewish-S</c:v>
                </c:pt>
                <c:pt idx="16">
                  <c:v>[P] Black</c:v>
                </c:pt>
                <c:pt idx="17">
                  <c:v>[Q] White</c:v>
                </c:pt>
                <c:pt idx="18">
                  <c:v>[T] White</c:v>
                </c:pt>
                <c:pt idx="19">
                  <c:v>[U] Iranian</c:v>
                </c:pt>
                <c:pt idx="20">
                  <c:v>[V] Saudi</c:v>
                </c:pt>
                <c:pt idx="21">
                  <c:v>[W] Filipino</c:v>
                </c:pt>
                <c:pt idx="22">
                  <c:v>[X] Korean</c:v>
                </c:pt>
                <c:pt idx="23">
                  <c:v>[Y] White</c:v>
                </c:pt>
                <c:pt idx="24">
                  <c:v>[Z] Iranian</c:v>
                </c:pt>
                <c:pt idx="25">
                  <c:v>[AA] Ethiopian Jewish</c:v>
                </c:pt>
                <c:pt idx="26">
                  <c:v>[AB] Hispanic</c:v>
                </c:pt>
                <c:pt idx="27">
                  <c:v>[AC] Northern Indian</c:v>
                </c:pt>
                <c:pt idx="28">
                  <c:v>Average</c:v>
                </c:pt>
              </c:strCache>
            </c:strRef>
          </c:cat>
          <c:val>
            <c:numRef>
              <c:f>'Female Spiro'!$B$4:$B$12,'Female Spiro'!$B$16:$B$24,'Female Spiro'!$B$28:$B$38</c:f>
              <c:numCache>
                <c:formatCode>General</c:formatCode>
                <c:ptCount val="29"/>
                <c:pt idx="0">
                  <c:v>3.41664</c:v>
                </c:pt>
                <c:pt idx="1">
                  <c:v>2.784736</c:v>
                </c:pt>
                <c:pt idx="2">
                  <c:v>3.328976</c:v>
                </c:pt>
                <c:pt idx="3">
                  <c:v>3.305</c:v>
                </c:pt>
                <c:pt idx="4">
                  <c:v>3.19209448818898</c:v>
                </c:pt>
                <c:pt idx="5">
                  <c:v>3.18610236220472</c:v>
                </c:pt>
                <c:pt idx="6">
                  <c:v>3.0619</c:v>
                </c:pt>
                <c:pt idx="7">
                  <c:v>3.2474</c:v>
                </c:pt>
                <c:pt idx="8">
                  <c:v>3.342</c:v>
                </c:pt>
                <c:pt idx="9">
                  <c:v>2.478</c:v>
                </c:pt>
                <c:pt idx="10">
                  <c:v>2.7884</c:v>
                </c:pt>
                <c:pt idx="11">
                  <c:v>2.252</c:v>
                </c:pt>
                <c:pt idx="12">
                  <c:v>3.398</c:v>
                </c:pt>
                <c:pt idx="13">
                  <c:v>2.2506</c:v>
                </c:pt>
                <c:pt idx="14">
                  <c:v>3.0996</c:v>
                </c:pt>
                <c:pt idx="15">
                  <c:v>3.0286</c:v>
                </c:pt>
                <c:pt idx="16">
                  <c:v>2.9812</c:v>
                </c:pt>
                <c:pt idx="17">
                  <c:v>3.3846</c:v>
                </c:pt>
                <c:pt idx="18">
                  <c:v>3.263</c:v>
                </c:pt>
                <c:pt idx="19">
                  <c:v>2.98487</c:v>
                </c:pt>
                <c:pt idx="20">
                  <c:v>2.93</c:v>
                </c:pt>
                <c:pt idx="21">
                  <c:v>2.6073</c:v>
                </c:pt>
                <c:pt idx="22">
                  <c:v>3.5197</c:v>
                </c:pt>
                <c:pt idx="23">
                  <c:v>3.26521264768079</c:v>
                </c:pt>
                <c:pt idx="24">
                  <c:v>3.1078</c:v>
                </c:pt>
                <c:pt idx="25">
                  <c:v>2.172</c:v>
                </c:pt>
                <c:pt idx="26">
                  <c:v>3.1796</c:v>
                </c:pt>
                <c:pt idx="27">
                  <c:v>2.75</c:v>
                </c:pt>
                <c:pt idx="28">
                  <c:v>3.0109046963598</c:v>
                </c:pt>
              </c:numCache>
            </c:numRef>
          </c:val>
        </c:ser>
        <c:ser>
          <c:idx val="1"/>
          <c:order val="1"/>
          <c:spPr>
            <a:solidFill>
              <a:srgbClr val="ff420e"/>
            </a:solidFill>
            <a:ln>
              <a:noFill/>
            </a:ln>
          </c:spPr>
          <c:invertIfNegative val="0"/>
          <c:dLbls>
            <c:showLegendKey val="0"/>
            <c:showVal val="0"/>
            <c:showCatName val="0"/>
            <c:showSerName val="0"/>
            <c:showPercent val="0"/>
            <c:showLeaderLines val="0"/>
          </c:dLbls>
          <c:cat>
            <c:strRef>
              <c:f>'Female Spiro'!$A$4:$A$12,'Female Spiro'!$A$16:$A$24,'Female Spiro'!$A$28:$A$38</c:f>
              <c:strCache>
                <c:ptCount val="29"/>
                <c:pt idx="0">
                  <c:v>[A] white</c:v>
                </c:pt>
                <c:pt idx="1">
                  <c:v>[A] black</c:v>
                </c:pt>
                <c:pt idx="2">
                  <c:v>[A] hispanic</c:v>
                </c:pt>
                <c:pt idx="3">
                  <c:v>[B] white</c:v>
                </c:pt>
                <c:pt idx="4">
                  <c:v>[C] white</c:v>
                </c:pt>
                <c:pt idx="5">
                  <c:v>[D] white</c:v>
                </c:pt>
                <c:pt idx="6">
                  <c:v>[E] white</c:v>
                </c:pt>
                <c:pt idx="7">
                  <c:v>[F] white</c:v>
                </c:pt>
                <c:pt idx="8">
                  <c:v>[H] American Indian</c:v>
                </c:pt>
                <c:pt idx="9">
                  <c:v>[J] Asian Indian</c:v>
                </c:pt>
                <c:pt idx="10">
                  <c:v>[K] Chinese</c:v>
                </c:pt>
                <c:pt idx="11">
                  <c:v>[L] Malaysian</c:v>
                </c:pt>
                <c:pt idx="12">
                  <c:v>[M] White</c:v>
                </c:pt>
                <c:pt idx="13">
                  <c:v>[N] Black</c:v>
                </c:pt>
                <c:pt idx="14">
                  <c:v>[O] Jewish-A</c:v>
                </c:pt>
                <c:pt idx="15">
                  <c:v>[O] Jewish-S</c:v>
                </c:pt>
                <c:pt idx="16">
                  <c:v>[P] Black</c:v>
                </c:pt>
                <c:pt idx="17">
                  <c:v>[Q] White</c:v>
                </c:pt>
                <c:pt idx="18">
                  <c:v>[T] White</c:v>
                </c:pt>
                <c:pt idx="19">
                  <c:v>[U] Iranian</c:v>
                </c:pt>
                <c:pt idx="20">
                  <c:v>[V] Saudi</c:v>
                </c:pt>
                <c:pt idx="21">
                  <c:v>[W] Filipino</c:v>
                </c:pt>
                <c:pt idx="22">
                  <c:v>[X] Korean</c:v>
                </c:pt>
                <c:pt idx="23">
                  <c:v>[Y] White</c:v>
                </c:pt>
                <c:pt idx="24">
                  <c:v>[Z] Iranian</c:v>
                </c:pt>
                <c:pt idx="25">
                  <c:v>[AA] Ethiopian Jewish</c:v>
                </c:pt>
                <c:pt idx="26">
                  <c:v>[AB] Hispanic</c:v>
                </c:pt>
                <c:pt idx="27">
                  <c:v>[AC] Northern Indian</c:v>
                </c:pt>
                <c:pt idx="28">
                  <c:v>Average</c:v>
                </c:pt>
              </c:strCache>
            </c:strRef>
          </c:cat>
          <c:val>
            <c:numRef>
              <c:f>'Female Spiro'!$C$4:$C$12,'Female Spiro'!$C$16:$C$24,'Female Spiro'!$C$28:$C$38</c:f>
              <c:numCache>
                <c:formatCode>General</c:formatCode>
                <c:ptCount val="29"/>
                <c:pt idx="0">
                  <c:v>2.7109296</c:v>
                </c:pt>
                <c:pt idx="1">
                  <c:v>2.478376</c:v>
                </c:pt>
                <c:pt idx="2">
                  <c:v>2.692824</c:v>
                </c:pt>
                <c:pt idx="3">
                  <c:v>2.769</c:v>
                </c:pt>
                <c:pt idx="4">
                  <c:v>2.42429921259842</c:v>
                </c:pt>
                <c:pt idx="5">
                  <c:v>2.41233070866142</c:v>
                </c:pt>
                <c:pt idx="6">
                  <c:v>2.534</c:v>
                </c:pt>
                <c:pt idx="7">
                  <c:v>2.7284</c:v>
                </c:pt>
                <c:pt idx="8">
                  <c:v>2.644</c:v>
                </c:pt>
                <c:pt idx="9">
                  <c:v>1.909</c:v>
                </c:pt>
                <c:pt idx="10">
                  <c:v>2.253</c:v>
                </c:pt>
                <c:pt idx="11">
                  <c:v>1.905</c:v>
                </c:pt>
                <c:pt idx="12">
                  <c:v>2.872</c:v>
                </c:pt>
                <c:pt idx="13">
                  <c:v>2.0088</c:v>
                </c:pt>
                <c:pt idx="14">
                  <c:v>2.5712</c:v>
                </c:pt>
                <c:pt idx="15">
                  <c:v>2.5092</c:v>
                </c:pt>
                <c:pt idx="16">
                  <c:v>2.2622</c:v>
                </c:pt>
                <c:pt idx="17">
                  <c:v>2.6696</c:v>
                </c:pt>
                <c:pt idx="18">
                  <c:v>2.656</c:v>
                </c:pt>
                <c:pt idx="19">
                  <c:v>2.64059</c:v>
                </c:pt>
                <c:pt idx="20">
                  <c:v>2.378</c:v>
                </c:pt>
                <c:pt idx="21">
                  <c:v>2.1235</c:v>
                </c:pt>
                <c:pt idx="22">
                  <c:v>2.8014</c:v>
                </c:pt>
                <c:pt idx="23">
                  <c:v>2.65966231479876</c:v>
                </c:pt>
                <c:pt idx="24">
                  <c:v>2.682</c:v>
                </c:pt>
                <c:pt idx="25">
                  <c:v>1.913</c:v>
                </c:pt>
                <c:pt idx="26">
                  <c:v>2.6234</c:v>
                </c:pt>
                <c:pt idx="27">
                  <c:v>1.7825</c:v>
                </c:pt>
                <c:pt idx="28">
                  <c:v>2.45050756557352</c:v>
                </c:pt>
              </c:numCache>
            </c:numRef>
          </c:val>
        </c:ser>
        <c:gapWidth val="100"/>
        <c:overlap val="0"/>
        <c:axId val="67388811"/>
        <c:axId val="42984496"/>
      </c:barChart>
      <c:catAx>
        <c:axId val="67388811"/>
        <c:scaling>
          <c:orientation val="minMax"/>
        </c:scaling>
        <c:delete val="0"/>
        <c:axPos val="b"/>
        <c:numFmt formatCode="General"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42984496"/>
        <c:crosses val="autoZero"/>
        <c:auto val="1"/>
        <c:lblAlgn val="ctr"/>
        <c:lblOffset val="100"/>
      </c:catAx>
      <c:valAx>
        <c:axId val="42984496"/>
        <c:scaling>
          <c:orientation val="minMax"/>
        </c:scaling>
        <c:delete val="0"/>
        <c:axPos val="l"/>
        <c:majorGridlines>
          <c:spPr>
            <a:ln>
              <a:solidFill>
                <a:srgbClr val="b3b3b3"/>
              </a:solidFill>
            </a:ln>
          </c:spPr>
        </c:majorGridlines>
        <c:numFmt formatCode="0.00"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67388811"/>
        <c:crossesAt val="1"/>
        <c:crossBetween val="midCat"/>
      </c:valAx>
      <c:spPr>
        <a:noFill/>
        <a:ln>
          <a:solidFill>
            <a:srgbClr val="b3b3b3"/>
          </a:solidFill>
        </a:ln>
      </c:spPr>
    </c:plotArea>
    <c:plotVisOnly val="1"/>
    <c:dispBlanksAs val="gap"/>
  </c:chart>
  <c:spPr>
    <a:solidFill>
      <a:srgbClr val="ffffff"/>
    </a:solidFill>
    <a:ln w="25200">
      <a:solidFill>
        <a:srgbClr val="000000"/>
      </a:solidFill>
      <a:round/>
    </a:ln>
  </c:spPr>
</c:chartSpace>
</file>

<file path=xl/charts/chart2.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sz="1300" spc="-1" strike="noStrike">
                <a:solidFill>
                  <a:srgbClr val="000000"/>
                </a:solidFill>
                <a:uFill>
                  <a:solidFill>
                    <a:srgbClr val="ffffff"/>
                  </a:solidFill>
                </a:uFill>
                <a:latin typeface="Arial"/>
              </a:defRPr>
            </a:pPr>
            <a:r>
              <a:rPr b="0" sz="1300" spc="-1" strike="noStrike">
                <a:solidFill>
                  <a:srgbClr val="000000"/>
                </a:solidFill>
                <a:uFill>
                  <a:solidFill>
                    <a:srgbClr val="ffffff"/>
                  </a:solidFill>
                </a:uFill>
                <a:latin typeface="Arial"/>
              </a:rPr>
              <a:t>Male FVC &amp; FEV (L)</a:t>
            </a:r>
          </a:p>
        </c:rich>
      </c:tx>
      <c:overlay val="0"/>
    </c:title>
    <c:autoTitleDeleted val="0"/>
    <c:plotArea>
      <c:layout>
        <c:manualLayout>
          <c:layoutTarget val="inner"/>
          <c:xMode val="edge"/>
          <c:yMode val="edge"/>
          <c:x val="0.104761408626797"/>
          <c:y val="0.104784191367655"/>
          <c:w val="0.854500937695353"/>
          <c:h val="0.610699427977119"/>
        </c:manualLayout>
      </c:layout>
      <c:barChart>
        <c:barDir val="col"/>
        <c:grouping val="clustered"/>
        <c:varyColors val="0"/>
        <c:ser>
          <c:idx val="0"/>
          <c:order val="0"/>
          <c:spPr>
            <a:solidFill>
              <a:srgbClr val="004586"/>
            </a:solidFill>
            <a:ln>
              <a:noFill/>
            </a:ln>
          </c:spPr>
          <c:invertIfNegative val="0"/>
          <c:dLbls>
            <c:showLegendKey val="0"/>
            <c:showVal val="0"/>
            <c:showCatName val="0"/>
            <c:showSerName val="0"/>
            <c:showPercent val="0"/>
            <c:showLeaderLines val="0"/>
          </c:dLbls>
          <c:cat>
            <c:strRef>
              <c:f>'Male Spiro'!$A$4:$A$11,'Male Spiro'!$A$13,'Male Spiro'!$A$17:$A$26,'Male Spiro'!$A$30:$A$39</c:f>
              <c:strCache>
                <c:ptCount val="29"/>
                <c:pt idx="0">
                  <c:v>[A] White</c:v>
                </c:pt>
                <c:pt idx="1">
                  <c:v>[A] Black</c:v>
                </c:pt>
                <c:pt idx="2">
                  <c:v>[A] Hispanic</c:v>
                </c:pt>
                <c:pt idx="3">
                  <c:v>[B] White</c:v>
                </c:pt>
                <c:pt idx="4">
                  <c:v>[C] White</c:v>
                </c:pt>
                <c:pt idx="5">
                  <c:v>[D] White</c:v>
                </c:pt>
                <c:pt idx="6">
                  <c:v>[E] White</c:v>
                </c:pt>
                <c:pt idx="7">
                  <c:v>[F] White</c:v>
                </c:pt>
                <c:pt idx="8">
                  <c:v>[H] American Indian</c:v>
                </c:pt>
                <c:pt idx="9">
                  <c:v>[J] Asian Indian</c:v>
                </c:pt>
                <c:pt idx="10">
                  <c:v>[K] Chinese</c:v>
                </c:pt>
                <c:pt idx="11">
                  <c:v>[L] Malaysian</c:v>
                </c:pt>
                <c:pt idx="12">
                  <c:v>[M] White</c:v>
                </c:pt>
                <c:pt idx="13">
                  <c:v>[N] Black</c:v>
                </c:pt>
                <c:pt idx="14">
                  <c:v>[O] Jewish-A</c:v>
                </c:pt>
                <c:pt idx="15">
                  <c:v>[O] Jewish-S</c:v>
                </c:pt>
                <c:pt idx="16">
                  <c:v>[P] Black</c:v>
                </c:pt>
                <c:pt idx="17">
                  <c:v>[Q] White</c:v>
                </c:pt>
                <c:pt idx="18">
                  <c:v>[R] Chinese</c:v>
                </c:pt>
                <c:pt idx="19">
                  <c:v>[T] White</c:v>
                </c:pt>
                <c:pt idx="20">
                  <c:v>[U] Iranian</c:v>
                </c:pt>
                <c:pt idx="21">
                  <c:v>[V] Saudi</c:v>
                </c:pt>
                <c:pt idx="22">
                  <c:v>[W] Filipino</c:v>
                </c:pt>
                <c:pt idx="23">
                  <c:v>[X] Korean</c:v>
                </c:pt>
                <c:pt idx="24">
                  <c:v>[Y] White</c:v>
                </c:pt>
                <c:pt idx="25">
                  <c:v>[Z] Iranian</c:v>
                </c:pt>
                <c:pt idx="26">
                  <c:v>[AA] Ethiopian Jewish</c:v>
                </c:pt>
                <c:pt idx="27">
                  <c:v>[AB] Hispanic</c:v>
                </c:pt>
                <c:pt idx="28">
                  <c:v>[AC] Northern Indian</c:v>
                </c:pt>
              </c:strCache>
            </c:strRef>
          </c:cat>
          <c:val>
            <c:numRef>
              <c:f>'Male Spiro'!$B$4:$B$11,'Male Spiro'!$B$13,'Male Spiro'!$B$17:$B$26,'Male Spiro'!$B$30:$B$39</c:f>
              <c:numCache>
                <c:formatCode>General</c:formatCode>
                <c:ptCount val="29"/>
                <c:pt idx="0">
                  <c:v>3.938552</c:v>
                </c:pt>
                <c:pt idx="1">
                  <c:v>3.198408</c:v>
                </c:pt>
                <c:pt idx="2">
                  <c:v>3.899788</c:v>
                </c:pt>
                <c:pt idx="3">
                  <c:v>3.997</c:v>
                </c:pt>
                <c:pt idx="4">
                  <c:v>3.83183464566929</c:v>
                </c:pt>
                <c:pt idx="5">
                  <c:v>3.89791338582677</c:v>
                </c:pt>
                <c:pt idx="6">
                  <c:v>3.2322</c:v>
                </c:pt>
                <c:pt idx="7">
                  <c:v>3.653</c:v>
                </c:pt>
                <c:pt idx="8">
                  <c:v>3.427</c:v>
                </c:pt>
                <c:pt idx="9">
                  <c:v>2.926</c:v>
                </c:pt>
                <c:pt idx="10">
                  <c:v>3.3054</c:v>
                </c:pt>
                <c:pt idx="11">
                  <c:v>2.689</c:v>
                </c:pt>
                <c:pt idx="12">
                  <c:v>4.048</c:v>
                </c:pt>
                <c:pt idx="13">
                  <c:v>2.8266</c:v>
                </c:pt>
                <c:pt idx="14">
                  <c:v>3.5342</c:v>
                </c:pt>
                <c:pt idx="15">
                  <c:v>3.4632</c:v>
                </c:pt>
                <c:pt idx="16">
                  <c:v>3.306</c:v>
                </c:pt>
                <c:pt idx="17">
                  <c:v>3.8278</c:v>
                </c:pt>
                <c:pt idx="18">
                  <c:v>3.3694</c:v>
                </c:pt>
                <c:pt idx="19">
                  <c:v>4.057</c:v>
                </c:pt>
                <c:pt idx="20">
                  <c:v>3.52081</c:v>
                </c:pt>
                <c:pt idx="21">
                  <c:v>3.527</c:v>
                </c:pt>
                <c:pt idx="22">
                  <c:v>3.4714</c:v>
                </c:pt>
                <c:pt idx="23">
                  <c:v>4.229</c:v>
                </c:pt>
                <c:pt idx="24">
                  <c:v>3.82571852279243</c:v>
                </c:pt>
                <c:pt idx="25">
                  <c:v>3.6886</c:v>
                </c:pt>
                <c:pt idx="26">
                  <c:v>2.7134</c:v>
                </c:pt>
                <c:pt idx="27">
                  <c:v>3.6387</c:v>
                </c:pt>
                <c:pt idx="28">
                  <c:v>3.465</c:v>
                </c:pt>
              </c:numCache>
            </c:numRef>
          </c:val>
        </c:ser>
        <c:ser>
          <c:idx val="1"/>
          <c:order val="1"/>
          <c:spPr>
            <a:solidFill>
              <a:srgbClr val="ff420e"/>
            </a:solidFill>
            <a:ln>
              <a:noFill/>
            </a:ln>
          </c:spPr>
          <c:invertIfNegative val="0"/>
          <c:dLbls>
            <c:showLegendKey val="0"/>
            <c:showVal val="0"/>
            <c:showCatName val="0"/>
            <c:showSerName val="0"/>
            <c:showPercent val="0"/>
            <c:showLeaderLines val="0"/>
          </c:dLbls>
          <c:cat>
            <c:strRef>
              <c:f>'Male Spiro'!$A$4:$A$11,'Male Spiro'!$A$13,'Male Spiro'!$A$17:$A$26,'Male Spiro'!$A$30:$A$39</c:f>
              <c:strCache>
                <c:ptCount val="29"/>
                <c:pt idx="0">
                  <c:v>[A] White</c:v>
                </c:pt>
                <c:pt idx="1">
                  <c:v>[A] Black</c:v>
                </c:pt>
                <c:pt idx="2">
                  <c:v>[A] Hispanic</c:v>
                </c:pt>
                <c:pt idx="3">
                  <c:v>[B] White</c:v>
                </c:pt>
                <c:pt idx="4">
                  <c:v>[C] White</c:v>
                </c:pt>
                <c:pt idx="5">
                  <c:v>[D] White</c:v>
                </c:pt>
                <c:pt idx="6">
                  <c:v>[E] White</c:v>
                </c:pt>
                <c:pt idx="7">
                  <c:v>[F] White</c:v>
                </c:pt>
                <c:pt idx="8">
                  <c:v>[H] American Indian</c:v>
                </c:pt>
                <c:pt idx="9">
                  <c:v>[J] Asian Indian</c:v>
                </c:pt>
                <c:pt idx="10">
                  <c:v>[K] Chinese</c:v>
                </c:pt>
                <c:pt idx="11">
                  <c:v>[L] Malaysian</c:v>
                </c:pt>
                <c:pt idx="12">
                  <c:v>[M] White</c:v>
                </c:pt>
                <c:pt idx="13">
                  <c:v>[N] Black</c:v>
                </c:pt>
                <c:pt idx="14">
                  <c:v>[O] Jewish-A</c:v>
                </c:pt>
                <c:pt idx="15">
                  <c:v>[O] Jewish-S</c:v>
                </c:pt>
                <c:pt idx="16">
                  <c:v>[P] Black</c:v>
                </c:pt>
                <c:pt idx="17">
                  <c:v>[Q] White</c:v>
                </c:pt>
                <c:pt idx="18">
                  <c:v>[R] Chinese</c:v>
                </c:pt>
                <c:pt idx="19">
                  <c:v>[T] White</c:v>
                </c:pt>
                <c:pt idx="20">
                  <c:v>[U] Iranian</c:v>
                </c:pt>
                <c:pt idx="21">
                  <c:v>[V] Saudi</c:v>
                </c:pt>
                <c:pt idx="22">
                  <c:v>[W] Filipino</c:v>
                </c:pt>
                <c:pt idx="23">
                  <c:v>[X] Korean</c:v>
                </c:pt>
                <c:pt idx="24">
                  <c:v>[Y] White</c:v>
                </c:pt>
                <c:pt idx="25">
                  <c:v>[Z] Iranian</c:v>
                </c:pt>
                <c:pt idx="26">
                  <c:v>[AA] Ethiopian Jewish</c:v>
                </c:pt>
                <c:pt idx="27">
                  <c:v>[AB] Hispanic</c:v>
                </c:pt>
                <c:pt idx="28">
                  <c:v>[AC] Northern Indian</c:v>
                </c:pt>
              </c:strCache>
            </c:strRef>
          </c:cat>
          <c:val>
            <c:numRef>
              <c:f>'Male Spiro'!$C$4:$C$11,'Male Spiro'!$C$13,'Male Spiro'!$C$17:$C$26,'Male Spiro'!$C$30:$C$39</c:f>
              <c:numCache>
                <c:formatCode>General</c:formatCode>
                <c:ptCount val="29"/>
                <c:pt idx="0">
                  <c:v>3.081188</c:v>
                </c:pt>
                <c:pt idx="1">
                  <c:v>2.564264</c:v>
                </c:pt>
                <c:pt idx="2">
                  <c:v>3.033224</c:v>
                </c:pt>
                <c:pt idx="3">
                  <c:v>3.188</c:v>
                </c:pt>
                <c:pt idx="4">
                  <c:v>2.93527559055118</c:v>
                </c:pt>
                <c:pt idx="5">
                  <c:v>2.91526771653543</c:v>
                </c:pt>
                <c:pt idx="6">
                  <c:v>2.6653</c:v>
                </c:pt>
                <c:pt idx="7">
                  <c:v>3.003</c:v>
                </c:pt>
                <c:pt idx="8">
                  <c:v>2.734</c:v>
                </c:pt>
                <c:pt idx="9">
                  <c:v>2.364</c:v>
                </c:pt>
                <c:pt idx="10">
                  <c:v>2.6908</c:v>
                </c:pt>
                <c:pt idx="11">
                  <c:v>2.293</c:v>
                </c:pt>
                <c:pt idx="12">
                  <c:v>3.442</c:v>
                </c:pt>
                <c:pt idx="13">
                  <c:v>2.4914</c:v>
                </c:pt>
                <c:pt idx="14">
                  <c:v>2.8956</c:v>
                </c:pt>
                <c:pt idx="15">
                  <c:v>2.8956</c:v>
                </c:pt>
                <c:pt idx="16">
                  <c:v>2.6931</c:v>
                </c:pt>
                <c:pt idx="17">
                  <c:v>3.1296</c:v>
                </c:pt>
                <c:pt idx="18">
                  <c:v>2.73447</c:v>
                </c:pt>
                <c:pt idx="19">
                  <c:v>3.359</c:v>
                </c:pt>
                <c:pt idx="20">
                  <c:v>3.14647</c:v>
                </c:pt>
                <c:pt idx="21">
                  <c:v>2.924</c:v>
                </c:pt>
                <c:pt idx="22">
                  <c:v>2.7442</c:v>
                </c:pt>
                <c:pt idx="23">
                  <c:v>3.2906</c:v>
                </c:pt>
                <c:pt idx="24">
                  <c:v>3.13428182178471</c:v>
                </c:pt>
                <c:pt idx="25">
                  <c:v>3.18328</c:v>
                </c:pt>
                <c:pt idx="26">
                  <c:v>2.4517</c:v>
                </c:pt>
                <c:pt idx="27">
                  <c:v>2.9389</c:v>
                </c:pt>
                <c:pt idx="28">
                  <c:v>2.76</c:v>
                </c:pt>
              </c:numCache>
            </c:numRef>
          </c:val>
        </c:ser>
        <c:gapWidth val="100"/>
        <c:overlap val="0"/>
        <c:axId val="14264627"/>
        <c:axId val="46197296"/>
      </c:barChart>
      <c:catAx>
        <c:axId val="14264627"/>
        <c:scaling>
          <c:orientation val="minMax"/>
        </c:scaling>
        <c:delete val="0"/>
        <c:axPos val="b"/>
        <c:numFmt formatCode="General"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46197296"/>
        <c:crosses val="autoZero"/>
        <c:auto val="1"/>
        <c:lblAlgn val="ctr"/>
        <c:lblOffset val="100"/>
      </c:catAx>
      <c:valAx>
        <c:axId val="46197296"/>
        <c:scaling>
          <c:orientation val="minMax"/>
        </c:scaling>
        <c:delete val="0"/>
        <c:axPos val="l"/>
        <c:majorGridlines>
          <c:spPr>
            <a:ln>
              <a:solidFill>
                <a:srgbClr val="b3b3b3"/>
              </a:solidFill>
            </a:ln>
          </c:spPr>
        </c:majorGridlines>
        <c:numFmt formatCode="0.00"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14264627"/>
        <c:crossesAt val="1"/>
        <c:crossBetween val="midCat"/>
      </c:valAx>
      <c:spPr>
        <a:noFill/>
        <a:ln>
          <a:solidFill>
            <a:srgbClr val="b3b3b3"/>
          </a:solidFill>
        </a:ln>
      </c:spPr>
    </c:plotArea>
    <c:plotVisOnly val="1"/>
    <c:dispBlanksAs val="gap"/>
  </c:chart>
  <c:spPr>
    <a:solidFill>
      <a:srgbClr val="ffffff"/>
    </a:solidFill>
    <a:ln w="25200">
      <a:solidFill>
        <a:srgbClr val="000000"/>
      </a:solidFill>
      <a:round/>
    </a:ln>
  </c:spPr>
</c:chartSpace>
</file>

<file path=xl/charts/chart3.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sz="1300" spc="-1" strike="noStrike">
                <a:solidFill>
                  <a:srgbClr val="000000"/>
                </a:solidFill>
                <a:uFill>
                  <a:solidFill>
                    <a:srgbClr val="ffffff"/>
                  </a:solidFill>
                </a:uFill>
                <a:latin typeface="Arial"/>
              </a:defRPr>
            </a:pPr>
            <a:r>
              <a:rPr b="0" sz="1300" spc="-1" strike="noStrike">
                <a:solidFill>
                  <a:srgbClr val="000000"/>
                </a:solidFill>
                <a:uFill>
                  <a:solidFill>
                    <a:srgbClr val="ffffff"/>
                  </a:solidFill>
                </a:uFill>
                <a:latin typeface="Arial"/>
              </a:rPr>
              <a:t>Predicted DLCO - Femal</a:t>
            </a:r>
          </a:p>
        </c:rich>
      </c:tx>
      <c:overlay val="0"/>
    </c:title>
    <c:autoTitleDeleted val="0"/>
    <c:plotArea>
      <c:barChart>
        <c:barDir val="col"/>
        <c:grouping val="clustered"/>
        <c:varyColors val="0"/>
        <c:ser>
          <c:idx val="0"/>
          <c:order val="0"/>
          <c:spPr>
            <a:solidFill>
              <a:srgbClr val="004586"/>
            </a:solidFill>
            <a:ln>
              <a:noFill/>
            </a:ln>
          </c:spPr>
          <c:invertIfNegative val="0"/>
          <c:dLbls>
            <c:showLegendKey val="0"/>
            <c:showVal val="0"/>
            <c:showCatName val="0"/>
            <c:showSerName val="0"/>
            <c:showPercent val="0"/>
            <c:showLeaderLines val="0"/>
          </c:dLbls>
          <c:cat>
            <c:strRef>
              <c:f>'Female DLCO'!$A$4:$A$21</c:f>
              <c:strCache>
                <c:ptCount val="18"/>
                <c:pt idx="0">
                  <c:v>[A] White</c:v>
                </c:pt>
                <c:pt idx="1">
                  <c:v>[B] White</c:v>
                </c:pt>
                <c:pt idx="2">
                  <c:v>[C] White</c:v>
                </c:pt>
                <c:pt idx="3">
                  <c:v>[D] White</c:v>
                </c:pt>
                <c:pt idx="4">
                  <c:v>[E] Chinese</c:v>
                </c:pt>
                <c:pt idx="5">
                  <c:v>[F] White</c:v>
                </c:pt>
                <c:pt idx="6">
                  <c:v>[G] White</c:v>
                </c:pt>
                <c:pt idx="7">
                  <c:v>[H] White</c:v>
                </c:pt>
                <c:pt idx="8">
                  <c:v>[I] Brazilian</c:v>
                </c:pt>
                <c:pt idx="9">
                  <c:v>[J] White</c:v>
                </c:pt>
                <c:pt idx="10">
                  <c:v>[K] White</c:v>
                </c:pt>
                <c:pt idx="11">
                  <c:v>[L] White</c:v>
                </c:pt>
                <c:pt idx="12">
                  <c:v>[M] Asian Indian</c:v>
                </c:pt>
                <c:pt idx="13">
                  <c:v>[N] Chinese</c:v>
                </c:pt>
                <c:pt idx="14">
                  <c:v>[O] White</c:v>
                </c:pt>
                <c:pt idx="15">
                  <c:v>[P] North Indian</c:v>
                </c:pt>
                <c:pt idx="16">
                  <c:v>[Q] White</c:v>
                </c:pt>
                <c:pt idx="17">
                  <c:v>Average</c:v>
                </c:pt>
              </c:strCache>
            </c:strRef>
          </c:cat>
          <c:val>
            <c:numRef>
              <c:f>'Female DLCO'!$B$4:$B$21</c:f>
              <c:numCache>
                <c:formatCode>General</c:formatCode>
                <c:ptCount val="18"/>
                <c:pt idx="0">
                  <c:v>25.4</c:v>
                </c:pt>
                <c:pt idx="1">
                  <c:v>16.758</c:v>
                </c:pt>
                <c:pt idx="2">
                  <c:v>22.383056</c:v>
                </c:pt>
                <c:pt idx="3">
                  <c:v>22.649</c:v>
                </c:pt>
                <c:pt idx="4">
                  <c:v>20.582</c:v>
                </c:pt>
                <c:pt idx="5">
                  <c:v>26.5341</c:v>
                </c:pt>
                <c:pt idx="6">
                  <c:v>22.150148</c:v>
                </c:pt>
                <c:pt idx="7">
                  <c:v>22.2832</c:v>
                </c:pt>
                <c:pt idx="8">
                  <c:v>25.25</c:v>
                </c:pt>
                <c:pt idx="9">
                  <c:v>26.7957</c:v>
                </c:pt>
                <c:pt idx="10">
                  <c:v>22.2743656</c:v>
                </c:pt>
                <c:pt idx="11">
                  <c:v>22.2119</c:v>
                </c:pt>
                <c:pt idx="12">
                  <c:v>9.618936</c:v>
                </c:pt>
                <c:pt idx="13">
                  <c:v>18.4242</c:v>
                </c:pt>
                <c:pt idx="14">
                  <c:v>22.293055531542</c:v>
                </c:pt>
                <c:pt idx="15">
                  <c:v>22.74</c:v>
                </c:pt>
                <c:pt idx="16">
                  <c:v>22.9</c:v>
                </c:pt>
                <c:pt idx="17">
                  <c:v>21.6653289714286</c:v>
                </c:pt>
              </c:numCache>
            </c:numRef>
          </c:val>
        </c:ser>
        <c:gapWidth val="100"/>
        <c:overlap val="0"/>
        <c:axId val="27098949"/>
        <c:axId val="71945740"/>
      </c:barChart>
      <c:catAx>
        <c:axId val="27098949"/>
        <c:scaling>
          <c:orientation val="minMax"/>
        </c:scaling>
        <c:delete val="0"/>
        <c:axPos val="b"/>
        <c:numFmt formatCode="General"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71945740"/>
        <c:crosses val="autoZero"/>
        <c:auto val="1"/>
        <c:lblAlgn val="ctr"/>
        <c:lblOffset val="100"/>
      </c:catAx>
      <c:valAx>
        <c:axId val="71945740"/>
        <c:scaling>
          <c:orientation val="minMax"/>
        </c:scaling>
        <c:delete val="0"/>
        <c:axPos val="l"/>
        <c:majorGridlines>
          <c:spPr>
            <a:ln>
              <a:solidFill>
                <a:srgbClr val="b3b3b3"/>
              </a:solidFill>
            </a:ln>
          </c:spPr>
        </c:majorGridlines>
        <c:title>
          <c:tx>
            <c:rich>
              <a:bodyPr rot="-5400000"/>
              <a:lstStyle/>
              <a:p>
                <a:pPr>
                  <a:defRPr b="0" sz="900" spc="-1" strike="noStrike">
                    <a:solidFill>
                      <a:srgbClr val="000000"/>
                    </a:solidFill>
                    <a:uFill>
                      <a:solidFill>
                        <a:srgbClr val="ffffff"/>
                      </a:solidFill>
                    </a:uFill>
                    <a:latin typeface="Arial"/>
                  </a:defRPr>
                </a:pPr>
                <a:r>
                  <a:rPr b="0" sz="900" spc="-1" strike="noStrike">
                    <a:solidFill>
                      <a:srgbClr val="000000"/>
                    </a:solidFill>
                    <a:uFill>
                      <a:solidFill>
                        <a:srgbClr val="ffffff"/>
                      </a:solidFill>
                    </a:uFill>
                    <a:latin typeface="Arial"/>
                  </a:rPr>
                  <a:t>DLCO (ml/min/mmHg)</a:t>
                </a:r>
              </a:p>
            </c:rich>
          </c:tx>
          <c:overlay val="0"/>
        </c:title>
        <c:numFmt formatCode="0.00"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27098949"/>
        <c:crosses val="autoZero"/>
        <c:crossBetween val="midCat"/>
      </c:valAx>
      <c:spPr>
        <a:noFill/>
        <a:ln>
          <a:solidFill>
            <a:srgbClr val="b3b3b3"/>
          </a:solidFill>
        </a:ln>
      </c:spPr>
    </c:plotArea>
    <c:legend>
      <c:legendPos val="r"/>
      <c:overlay val="0"/>
      <c:spPr>
        <a:noFill/>
        <a:ln>
          <a:noFill/>
        </a:ln>
      </c:spPr>
    </c:legend>
    <c:plotVisOnly val="1"/>
    <c:dispBlanksAs val="gap"/>
  </c:chart>
  <c:spPr>
    <a:solidFill>
      <a:srgbClr val="ffffff"/>
    </a:solidFill>
    <a:ln w="18360">
      <a:solidFill>
        <a:srgbClr val="000000"/>
      </a:solidFill>
      <a:round/>
    </a:ln>
  </c:spPr>
</c:chartSpace>
</file>

<file path=xl/charts/chart4.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sz="1300" spc="-1" strike="noStrike">
                <a:solidFill>
                  <a:srgbClr val="000000"/>
                </a:solidFill>
                <a:uFill>
                  <a:solidFill>
                    <a:srgbClr val="ffffff"/>
                  </a:solidFill>
                </a:uFill>
                <a:latin typeface="Arial"/>
              </a:defRPr>
            </a:pPr>
            <a:r>
              <a:rPr b="0" sz="1300" spc="-1" strike="noStrike">
                <a:solidFill>
                  <a:srgbClr val="000000"/>
                </a:solidFill>
                <a:uFill>
                  <a:solidFill>
                    <a:srgbClr val="ffffff"/>
                  </a:solidFill>
                </a:uFill>
                <a:latin typeface="Arial"/>
              </a:rPr>
              <a:t>Predicted DLCO - Male</a:t>
            </a:r>
          </a:p>
        </c:rich>
      </c:tx>
      <c:overlay val="0"/>
    </c:title>
    <c:autoTitleDeleted val="0"/>
    <c:plotArea>
      <c:barChart>
        <c:barDir val="col"/>
        <c:grouping val="clustered"/>
        <c:varyColors val="0"/>
        <c:ser>
          <c:idx val="0"/>
          <c:order val="0"/>
          <c:spPr>
            <a:solidFill>
              <a:srgbClr val="004586"/>
            </a:solidFill>
            <a:ln>
              <a:noFill/>
            </a:ln>
          </c:spPr>
          <c:invertIfNegative val="0"/>
          <c:dLbls>
            <c:showLegendKey val="0"/>
            <c:showVal val="0"/>
            <c:showCatName val="0"/>
            <c:showSerName val="0"/>
            <c:showPercent val="0"/>
            <c:showLeaderLines val="0"/>
          </c:dLbls>
          <c:cat>
            <c:strRef>
              <c:f>'Male DLCO'!$A$4:$A$21</c:f>
              <c:strCache>
                <c:ptCount val="18"/>
                <c:pt idx="0">
                  <c:v>[A] White</c:v>
                </c:pt>
                <c:pt idx="1">
                  <c:v>[B] White</c:v>
                </c:pt>
                <c:pt idx="2">
                  <c:v>[C] White</c:v>
                </c:pt>
                <c:pt idx="3">
                  <c:v>[D] White</c:v>
                </c:pt>
                <c:pt idx="4">
                  <c:v>[E] Chinese</c:v>
                </c:pt>
                <c:pt idx="5">
                  <c:v>[F] White</c:v>
                </c:pt>
                <c:pt idx="6">
                  <c:v>[G] White</c:v>
                </c:pt>
                <c:pt idx="7">
                  <c:v>[H] White</c:v>
                </c:pt>
                <c:pt idx="8">
                  <c:v>[I] Brazilian</c:v>
                </c:pt>
                <c:pt idx="9">
                  <c:v>[J] White</c:v>
                </c:pt>
                <c:pt idx="10">
                  <c:v>[K] White</c:v>
                </c:pt>
                <c:pt idx="11">
                  <c:v>[L] White</c:v>
                </c:pt>
                <c:pt idx="12">
                  <c:v>[M] Asian Indian</c:v>
                </c:pt>
                <c:pt idx="13">
                  <c:v>[N] Chinese</c:v>
                </c:pt>
                <c:pt idx="14">
                  <c:v>[O] White</c:v>
                </c:pt>
                <c:pt idx="15">
                  <c:v>[P] North Indian</c:v>
                </c:pt>
                <c:pt idx="16">
                  <c:v>[Q] White</c:v>
                </c:pt>
                <c:pt idx="17">
                  <c:v>Average </c:v>
                </c:pt>
              </c:strCache>
            </c:strRef>
          </c:cat>
          <c:val>
            <c:numRef>
              <c:f>'Male DLCO'!$B$4:$B$21</c:f>
              <c:numCache>
                <c:formatCode>General</c:formatCode>
                <c:ptCount val="18"/>
                <c:pt idx="0">
                  <c:v>29.27</c:v>
                </c:pt>
                <c:pt idx="1">
                  <c:v>26.824</c:v>
                </c:pt>
                <c:pt idx="2">
                  <c:v>25.595992</c:v>
                </c:pt>
                <c:pt idx="3">
                  <c:v>28.515</c:v>
                </c:pt>
                <c:pt idx="4">
                  <c:v>23.345</c:v>
                </c:pt>
                <c:pt idx="5">
                  <c:v>31.7583</c:v>
                </c:pt>
                <c:pt idx="6">
                  <c:v>25.554188</c:v>
                </c:pt>
                <c:pt idx="7">
                  <c:v>28.2973</c:v>
                </c:pt>
                <c:pt idx="8">
                  <c:v>31.63</c:v>
                </c:pt>
                <c:pt idx="9">
                  <c:v>29.3278</c:v>
                </c:pt>
                <c:pt idx="10">
                  <c:v>23.60433</c:v>
                </c:pt>
                <c:pt idx="11">
                  <c:v>30.2808</c:v>
                </c:pt>
                <c:pt idx="12">
                  <c:v>23.392324</c:v>
                </c:pt>
                <c:pt idx="13">
                  <c:v>20.6187</c:v>
                </c:pt>
                <c:pt idx="14">
                  <c:v>22.543055531542</c:v>
                </c:pt>
                <c:pt idx="15">
                  <c:v>25.667</c:v>
                </c:pt>
                <c:pt idx="16">
                  <c:v>22.9</c:v>
                </c:pt>
                <c:pt idx="17">
                  <c:v>27.000981</c:v>
                </c:pt>
              </c:numCache>
            </c:numRef>
          </c:val>
        </c:ser>
        <c:gapWidth val="100"/>
        <c:overlap val="0"/>
        <c:axId val="35392891"/>
        <c:axId val="32044108"/>
      </c:barChart>
      <c:catAx>
        <c:axId val="35392891"/>
        <c:scaling>
          <c:orientation val="minMax"/>
        </c:scaling>
        <c:delete val="0"/>
        <c:axPos val="b"/>
        <c:numFmt formatCode="General"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32044108"/>
        <c:crosses val="autoZero"/>
        <c:auto val="1"/>
        <c:lblAlgn val="ctr"/>
        <c:lblOffset val="100"/>
      </c:catAx>
      <c:valAx>
        <c:axId val="32044108"/>
        <c:scaling>
          <c:orientation val="minMax"/>
        </c:scaling>
        <c:delete val="0"/>
        <c:axPos val="l"/>
        <c:majorGridlines>
          <c:spPr>
            <a:ln>
              <a:solidFill>
                <a:srgbClr val="b3b3b3"/>
              </a:solidFill>
            </a:ln>
          </c:spPr>
        </c:majorGridlines>
        <c:title>
          <c:tx>
            <c:rich>
              <a:bodyPr rot="-5400000"/>
              <a:lstStyle/>
              <a:p>
                <a:pPr>
                  <a:defRPr b="0" sz="900" spc="-1" strike="noStrike">
                    <a:solidFill>
                      <a:srgbClr val="000000"/>
                    </a:solidFill>
                    <a:uFill>
                      <a:solidFill>
                        <a:srgbClr val="ffffff"/>
                      </a:solidFill>
                    </a:uFill>
                    <a:latin typeface="Arial"/>
                  </a:defRPr>
                </a:pPr>
                <a:r>
                  <a:rPr b="0" sz="900" spc="-1" strike="noStrike">
                    <a:solidFill>
                      <a:srgbClr val="000000"/>
                    </a:solidFill>
                    <a:uFill>
                      <a:solidFill>
                        <a:srgbClr val="ffffff"/>
                      </a:solidFill>
                    </a:uFill>
                    <a:latin typeface="Arial"/>
                  </a:rPr>
                  <a:t>DLCO ml/min/mmHg</a:t>
                </a:r>
              </a:p>
            </c:rich>
          </c:tx>
          <c:overlay val="0"/>
        </c:title>
        <c:numFmt formatCode="0.00"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35392891"/>
        <c:crosses val="autoZero"/>
        <c:crossBetween val="midCat"/>
      </c:valAx>
      <c:spPr>
        <a:noFill/>
        <a:ln>
          <a:solidFill>
            <a:srgbClr val="b3b3b3"/>
          </a:solidFill>
        </a:ln>
      </c:spPr>
    </c:plotArea>
    <c:legend>
      <c:legendPos val="r"/>
      <c:overlay val="0"/>
      <c:spPr>
        <a:noFill/>
        <a:ln>
          <a:noFill/>
        </a:ln>
      </c:spPr>
    </c:legend>
    <c:plotVisOnly val="1"/>
    <c:dispBlanksAs val="gap"/>
  </c:chart>
  <c:spPr>
    <a:solidFill>
      <a:srgbClr val="ffffff"/>
    </a:solidFill>
    <a:ln w="18360">
      <a:solidFill>
        <a:srgbClr val="000000"/>
      </a:solidFill>
      <a:round/>
    </a:ln>
  </c:spPr>
</c:chartSpace>
</file>

<file path=xl/drawings/_rels/drawing1.xml.rels><?xml version="1.0" encoding="UTF-8"?>
<Relationships xmlns="http://schemas.openxmlformats.org/package/2006/relationships"><Relationship Id="rId1" Type="http://schemas.openxmlformats.org/officeDocument/2006/relationships/chart" Target="../charts/chart1.xml"/>
</Relationships>
</file>

<file path=xl/drawings/_rels/drawing2.xml.rels><?xml version="1.0" encoding="UTF-8"?>
<Relationships xmlns="http://schemas.openxmlformats.org/package/2006/relationships"><Relationship Id="rId1" Type="http://schemas.openxmlformats.org/officeDocument/2006/relationships/chart" Target="../charts/chart2.xml"/>
</Relationships>
</file>

<file path=xl/drawings/_rels/drawing3.xml.rels><?xml version="1.0" encoding="UTF-8"?>
<Relationships xmlns="http://schemas.openxmlformats.org/package/2006/relationships"><Relationship Id="rId1" Type="http://schemas.openxmlformats.org/officeDocument/2006/relationships/chart" Target="../charts/chart3.xml"/>
</Relationships>
</file>

<file path=xl/drawings/_rels/drawing4.xml.rels><?xml version="1.0" encoding="UTF-8"?>
<Relationships xmlns="http://schemas.openxmlformats.org/package/2006/relationships"><Relationship Id="rId1" Type="http://schemas.openxmlformats.org/officeDocument/2006/relationships/chart" Target="../charts/chart4.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10</xdr:col>
      <xdr:colOff>46080</xdr:colOff>
      <xdr:row>3</xdr:row>
      <xdr:rowOff>19800</xdr:rowOff>
    </xdr:from>
    <xdr:to>
      <xdr:col>18</xdr:col>
      <xdr:colOff>171000</xdr:colOff>
      <xdr:row>33</xdr:row>
      <xdr:rowOff>18720</xdr:rowOff>
    </xdr:to>
    <xdr:graphicFrame>
      <xdr:nvGraphicFramePr>
        <xdr:cNvPr id="0" name="Chart 1"/>
        <xdr:cNvGraphicFramePr/>
      </xdr:nvGraphicFramePr>
      <xdr:xfrm>
        <a:off x="7288560" y="534600"/>
        <a:ext cx="6627600" cy="5028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11</xdr:col>
      <xdr:colOff>284760</xdr:colOff>
      <xdr:row>1</xdr:row>
      <xdr:rowOff>130320</xdr:rowOff>
    </xdr:from>
    <xdr:to>
      <xdr:col>19</xdr:col>
      <xdr:colOff>692640</xdr:colOff>
      <xdr:row>34</xdr:row>
      <xdr:rowOff>181080</xdr:rowOff>
    </xdr:to>
    <xdr:graphicFrame>
      <xdr:nvGraphicFramePr>
        <xdr:cNvPr id="1" name="Chart 1"/>
        <xdr:cNvGraphicFramePr/>
      </xdr:nvGraphicFramePr>
      <xdr:xfrm>
        <a:off x="8258400" y="293400"/>
        <a:ext cx="6910200" cy="553788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346320</xdr:colOff>
      <xdr:row>1</xdr:row>
      <xdr:rowOff>146880</xdr:rowOff>
    </xdr:from>
    <xdr:to>
      <xdr:col>9</xdr:col>
      <xdr:colOff>416520</xdr:colOff>
      <xdr:row>21</xdr:row>
      <xdr:rowOff>122760</xdr:rowOff>
    </xdr:to>
    <xdr:graphicFrame>
      <xdr:nvGraphicFramePr>
        <xdr:cNvPr id="2" name=""/>
        <xdr:cNvGraphicFramePr/>
      </xdr:nvGraphicFramePr>
      <xdr:xfrm>
        <a:off x="2246760" y="309960"/>
        <a:ext cx="5759640" cy="32396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619560</xdr:colOff>
      <xdr:row>1</xdr:row>
      <xdr:rowOff>3240</xdr:rowOff>
    </xdr:from>
    <xdr:to>
      <xdr:col>9</xdr:col>
      <xdr:colOff>689760</xdr:colOff>
      <xdr:row>20</xdr:row>
      <xdr:rowOff>142200</xdr:rowOff>
    </xdr:to>
    <xdr:graphicFrame>
      <xdr:nvGraphicFramePr>
        <xdr:cNvPr id="3" name=""/>
        <xdr:cNvGraphicFramePr/>
      </xdr:nvGraphicFramePr>
      <xdr:xfrm>
        <a:off x="2520000" y="166320"/>
        <a:ext cx="5759640" cy="32396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_rels/sheet3.xml.rels><?xml version="1.0" encoding="UTF-8"?>
<Relationships xmlns="http://schemas.openxmlformats.org/package/2006/relationships"><Relationship Id="rId1" Type="http://schemas.openxmlformats.org/officeDocument/2006/relationships/drawing" Target="../drawings/drawing2.xml"/>
</Relationships>
</file>

<file path=xl/worksheets/_rels/sheet8.xml.rels><?xml version="1.0" encoding="UTF-8"?>
<Relationships xmlns="http://schemas.openxmlformats.org/package/2006/relationships"><Relationship Id="rId1" Type="http://schemas.openxmlformats.org/officeDocument/2006/relationships/drawing" Target="../drawings/drawing3.xml"/>
</Relationships>
</file>

<file path=xl/worksheets/_rels/sheet9.xml.rels><?xml version="1.0" encoding="UTF-8"?>
<Relationships xmlns="http://schemas.openxmlformats.org/package/2006/relationships"><Relationship Id="rId1" Type="http://schemas.openxmlformats.org/officeDocument/2006/relationships/drawing" Target="../drawings/drawing4.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B8"/>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B5" activeCellId="0" sqref="B5"/>
    </sheetView>
  </sheetViews>
  <sheetFormatPr defaultRowHeight="12.85"/>
  <cols>
    <col collapsed="false" hidden="false" max="1025" min="1" style="0" width="11.5204081632653"/>
  </cols>
  <sheetData>
    <row r="1" customFormat="false" ht="12.85" hidden="false" customHeight="true" outlineLevel="0" collapsed="false">
      <c r="A1" s="0" t="s">
        <v>0</v>
      </c>
    </row>
    <row r="3" customFormat="false" ht="12.85" hidden="false" customHeight="true" outlineLevel="0" collapsed="false">
      <c r="A3" s="0" t="s">
        <v>1</v>
      </c>
      <c r="B3" s="0" t="n">
        <v>50</v>
      </c>
    </row>
    <row r="4" customFormat="false" ht="12.85" hidden="false" customHeight="true" outlineLevel="0" collapsed="false">
      <c r="A4" s="0" t="s">
        <v>2</v>
      </c>
      <c r="B4" s="0" t="n">
        <v>160</v>
      </c>
    </row>
    <row r="5" customFormat="false" ht="12.85" hidden="false" customHeight="true" outlineLevel="0" collapsed="false">
      <c r="A5" s="0" t="s">
        <v>3</v>
      </c>
      <c r="B5" s="0" t="n">
        <v>75</v>
      </c>
    </row>
    <row r="7" customFormat="false" ht="12.85" hidden="false" customHeight="true" outlineLevel="0" collapsed="false">
      <c r="A7" s="0" t="s">
        <v>4</v>
      </c>
      <c r="B7" s="1" t="n">
        <f aca="false">wt/(ht*0.01)^2</f>
        <v>29.296875</v>
      </c>
    </row>
    <row r="8" customFormat="false" ht="12.85" hidden="false" customHeight="true" outlineLevel="0" collapsed="false">
      <c r="A8" s="0" t="s">
        <v>5</v>
      </c>
      <c r="B8" s="1" t="n">
        <f aca="false">0.007184*(ht^0.725)*(wt^0.425)</f>
        <v>1.78342293751884</v>
      </c>
    </row>
  </sheetData>
  <dataValidations count="2">
    <dataValidation allowBlank="true" errorTitle="Age out of range!" operator="between" prompt="Age should be no less than 20.  The upper limit varies with the population used to create a given reference equation, none of which are higher than 85." promptTitle="Subject Age" showDropDown="false" showErrorMessage="true" showInputMessage="true" sqref="B3" type="whole">
      <formula1>20</formula1>
      <formula2>85</formula2>
    </dataValidation>
    <dataValidation allowBlank="false" operator="between" prompt="The normal range of heights for females is approximately 145 to 178 cm.  The normal range of heights for males is approximately 160 to 193 cm.  Heights outside these ranges may produce unusual predicted values." promptTitle="Height" showDropDown="false" showErrorMessage="true" showInputMessage="true" sqref="B4" type="whole">
      <formula1>145</formula1>
      <formula2>193</formula2>
    </dataValidation>
  </dataValidations>
  <printOptions headings="false" gridLines="false" gridLinesSet="true" horizontalCentered="false" verticalCentered="false"/>
  <pageMargins left="0.7875" right="0.7875" top="1.025" bottom="1.025" header="0.7875" footer="0.7875"/>
  <pageSetup paperSize="1" scale="100" firstPageNumber="1" fitToWidth="1" fitToHeight="1" pageOrder="downThenOver" orientation="portrait" usePrinterDefaults="false" blackAndWhite="false" draft="false" cellComments="none" useFirstPageNumber="true" horizontalDpi="300" verticalDpi="300" copies="1"/>
  <headerFooter differentFirst="false" differentOddEven="false">
    <oddHeader>&amp;C&amp;A</oddHeader>
    <oddFooter>&amp;CPage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O65536"/>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B5" activeCellId="0" sqref="B5"/>
    </sheetView>
  </sheetViews>
  <sheetFormatPr defaultRowHeight="12.85"/>
  <cols>
    <col collapsed="false" hidden="false" max="1" min="1" style="0" width="18.8010204081633"/>
    <col collapsed="false" hidden="false" max="2" min="2" style="0" width="8.45918367346939"/>
    <col collapsed="false" hidden="false" max="3" min="3" style="0" width="8.17857142857143"/>
    <col collapsed="false" hidden="false" max="4" min="4" style="0" width="7.89285714285714"/>
    <col collapsed="false" hidden="false" max="5" min="5" style="0" width="8.64795918367347"/>
    <col collapsed="false" hidden="false" max="6" min="6" style="0" width="7.80102040816327"/>
    <col collapsed="false" hidden="false" max="7" min="7" style="0" width="9.58673469387755"/>
    <col collapsed="false" hidden="false" max="8" min="8" style="0" width="10.2397959183673"/>
    <col collapsed="false" hidden="false" max="1025" min="9" style="0" width="11.5204081632653"/>
  </cols>
  <sheetData>
    <row r="1" customFormat="false" ht="12.85" hidden="false" customHeight="true" outlineLevel="0" collapsed="false">
      <c r="A1" s="0" t="s">
        <v>6</v>
      </c>
    </row>
    <row r="3" customFormat="false" ht="14.85" hidden="false" customHeight="true" outlineLevel="0" collapsed="false">
      <c r="A3" s="2" t="s">
        <v>7</v>
      </c>
      <c r="B3" s="3" t="s">
        <v>8</v>
      </c>
      <c r="C3" s="3" t="s">
        <v>9</v>
      </c>
      <c r="D3" s="3" t="s">
        <v>10</v>
      </c>
      <c r="E3" s="3" t="s">
        <v>11</v>
      </c>
      <c r="F3" s="3" t="s">
        <v>12</v>
      </c>
      <c r="G3" s="3" t="s">
        <v>13</v>
      </c>
      <c r="H3" s="3" t="s">
        <v>14</v>
      </c>
      <c r="I3" s="3" t="s">
        <v>15</v>
      </c>
      <c r="J3" s="3" t="s">
        <v>16</v>
      </c>
    </row>
    <row r="4" customFormat="false" ht="12.85" hidden="false" customHeight="true" outlineLevel="0" collapsed="false">
      <c r="A4" s="0" t="s">
        <v>17</v>
      </c>
      <c r="B4" s="1" t="n">
        <f aca="false">-0.356+(0.0187*age)-(0.000382*age^2)+(0.00014815*ht^2)</f>
        <v>3.41664</v>
      </c>
      <c r="C4" s="1" t="n">
        <f aca="false">0.4333-(0.00361*age)-(0.000194*age^2)+(0.000114966*ht^2)</f>
        <v>2.7109296</v>
      </c>
      <c r="D4" s="1"/>
      <c r="E4" s="1" t="n">
        <f aca="false">-0.1373+(0.01317*age)-(0.000352*age^2)+(0.00014395*ht^2)</f>
        <v>3.32632</v>
      </c>
      <c r="F4" s="1" t="n">
        <f aca="false">0.9267+(0.06929*age)-(0.001031*age^2)+(0.00018623*ht^2)</f>
        <v>6.581188</v>
      </c>
      <c r="G4" s="1" t="n">
        <f aca="false">2.367-(0.01904*age)-(0.0002*age^2)+(0.00006982*ht^2)</f>
        <v>2.702392</v>
      </c>
      <c r="H4" s="1" t="n">
        <f aca="false">90.809-(0.2186*age)</f>
        <v>79.879</v>
      </c>
      <c r="I4" s="0" t="n">
        <f aca="false">90.19-(0.159*age)</f>
        <v>82.24</v>
      </c>
    </row>
    <row r="5" customFormat="false" ht="12.85" hidden="false" customHeight="true" outlineLevel="0" collapsed="false">
      <c r="A5" s="0" t="s">
        <v>18</v>
      </c>
      <c r="B5" s="1" t="n">
        <f aca="false">-0.3039+(0.00536*age)-(0.000265*age^2)+(0.00013606*ht^2)</f>
        <v>2.784736</v>
      </c>
      <c r="C5" s="1" t="n">
        <f aca="false">0.3433-(0.01283*age)+(0.00010846*ht^2)</f>
        <v>2.478376</v>
      </c>
      <c r="D5" s="1"/>
      <c r="E5" s="1" t="n">
        <f aca="false">-0.1981+(0.00047*age)-(0.00023*age^2)+(0.00013497*ht^2)</f>
        <v>2.705632</v>
      </c>
      <c r="F5" s="1" t="n">
        <f aca="false">1.3597+(0.03458*age)-(0.000847*age^2)+(0.00019746*ht^2)</f>
        <v>6.026176</v>
      </c>
      <c r="G5" s="1" t="n">
        <f aca="false">2.0828-(0.03793*age)+(0.00008572*ht^2)</f>
        <v>2.380732</v>
      </c>
      <c r="H5" s="1" t="n">
        <f aca="false">91.229-(0.2039*age)</f>
        <v>81.034</v>
      </c>
      <c r="I5" s="0" t="n">
        <f aca="false">91.19-(0.156*age)</f>
        <v>83.39</v>
      </c>
    </row>
    <row r="6" customFormat="false" ht="13.4" hidden="false" customHeight="true" outlineLevel="0" collapsed="false">
      <c r="A6" s="0" t="s">
        <v>19</v>
      </c>
      <c r="B6" s="1" t="n">
        <f aca="false">0.121+(0.00307*age)-(0.000237*age^2)+(0.00014246*ht^2)</f>
        <v>3.328976</v>
      </c>
      <c r="C6" s="1" t="n">
        <f aca="false">0.4529-(0.01178*age)-(0.000113*age^2)+(0.00012154*ht^2)</f>
        <v>2.692824</v>
      </c>
      <c r="D6" s="1"/>
      <c r="E6" s="1" t="n">
        <f aca="false">0.2033+(0.0002*age)-(0.000232*age^2)+(0.00014106*ht^2)</f>
        <v>3.244436</v>
      </c>
      <c r="F6" s="1" t="n">
        <f aca="false">0.2401+(0.06174*age)-(0.001023*age^2)+(0.00022203*ht^2)</f>
        <v>6.453568</v>
      </c>
      <c r="G6" s="1" t="n">
        <f aca="false">1.7456-(0.01195*age)-(0.000291*age^2)+(0.0000961*ht^2)</f>
        <v>2.88076</v>
      </c>
      <c r="H6" s="1" t="n">
        <f aca="false">92.36-(0.2248*age)</f>
        <v>81.12</v>
      </c>
      <c r="I6" s="0" t="n">
        <f aca="false">91.71-(0.17*age)</f>
        <v>83.21</v>
      </c>
    </row>
    <row r="7" customFormat="false" ht="12.85" hidden="false" customHeight="true" outlineLevel="0" collapsed="false">
      <c r="A7" s="0" t="s">
        <v>20</v>
      </c>
      <c r="B7" s="1" t="n">
        <f aca="false">-3.335+(0.049*ht)-(0.024*age)</f>
        <v>3.305</v>
      </c>
      <c r="C7" s="1" t="n">
        <f aca="false">-1.901+(0.037*ht)-(0.025*age)</f>
        <v>2.769</v>
      </c>
      <c r="D7" s="1"/>
      <c r="E7" s="1"/>
      <c r="F7" s="1"/>
      <c r="G7" s="1"/>
      <c r="H7" s="1" t="n">
        <f aca="false">104.509-(0.089*ht)-(0.182*age)</f>
        <v>81.169</v>
      </c>
    </row>
    <row r="8" customFormat="false" ht="12.85" hidden="false" customHeight="true" outlineLevel="0" collapsed="false">
      <c r="A8" s="0" t="s">
        <v>21</v>
      </c>
      <c r="B8" s="1" t="n">
        <f aca="false">(0.115*(ht/2.54))-(0.024*age)-2.852</f>
        <v>3.19209448818898</v>
      </c>
      <c r="C8" s="1" t="n">
        <f aca="false">(0.089*(ht/2.54)-(0.025*age)-1.932)</f>
        <v>2.42429921259842</v>
      </c>
      <c r="D8" s="1"/>
      <c r="E8" s="1"/>
      <c r="F8" s="1"/>
      <c r="G8" s="1" t="n">
        <f aca="false">(0.06*(ht/2.54))-(0.03*age)+0.551</f>
        <v>2.83052755905512</v>
      </c>
      <c r="H8" s="1" t="n">
        <f aca="false">(C8/B8)*100</f>
        <v>75.9469753031604</v>
      </c>
    </row>
    <row r="9" customFormat="false" ht="12.85" hidden="false" customHeight="true" outlineLevel="0" collapsed="false">
      <c r="A9" s="0" t="s">
        <v>22</v>
      </c>
      <c r="B9" s="1" t="n">
        <f aca="false">(0.114*(ht/2.54))-(0.024*age)-2.795</f>
        <v>3.18610236220472</v>
      </c>
      <c r="C9" s="1" t="n">
        <f aca="false">(0.085*(ht/2.54))-(0.025*age)-1.692</f>
        <v>2.41233070866142</v>
      </c>
      <c r="D9" s="1"/>
      <c r="E9" s="1"/>
      <c r="F9" s="1"/>
      <c r="G9" s="1" t="n">
        <f aca="false">(0.055*(ht/2.54))-(0.031*age)+0.919</f>
        <v>2.83356692913386</v>
      </c>
      <c r="H9" s="1" t="n">
        <f aca="false">(C9/B9)*100</f>
        <v>75.7141621461317</v>
      </c>
    </row>
    <row r="10" customFormat="false" ht="12.85" hidden="false" customHeight="true" outlineLevel="0" collapsed="false">
      <c r="A10" s="0" t="s">
        <v>23</v>
      </c>
      <c r="B10" s="1" t="n">
        <f aca="false">-2.9001+(0.0427*ht)-(0.0174*age)</f>
        <v>3.0619</v>
      </c>
      <c r="C10" s="1" t="n">
        <f aca="false">-1.405+(0.0309*ht)-(0.0201*age)</f>
        <v>2.534</v>
      </c>
      <c r="D10" s="1"/>
      <c r="E10" s="1"/>
      <c r="F10" s="1"/>
      <c r="G10" s="1" t="n">
        <f aca="false">1.1277+(0.0209*ht)-(0.0344*age)</f>
        <v>2.7517</v>
      </c>
      <c r="H10" s="1" t="n">
        <f aca="false">(C10/B10)*100</f>
        <v>82.7590711649629</v>
      </c>
    </row>
    <row r="11" customFormat="false" ht="12.85" hidden="false" customHeight="true" outlineLevel="0" collapsed="false">
      <c r="A11" s="0" t="s">
        <v>24</v>
      </c>
      <c r="B11" s="1" t="n">
        <f aca="false">-4.04-(0.0259*age)+(5.364*(ht/100))</f>
        <v>3.2474</v>
      </c>
      <c r="C11" s="1" t="n">
        <f aca="false">-1.747-(0.0263*age)+(3.619*(ht/100))</f>
        <v>2.7284</v>
      </c>
      <c r="D11" s="1"/>
      <c r="E11" s="1"/>
      <c r="F11" s="1"/>
      <c r="G11" s="1"/>
      <c r="H11" s="1" t="n">
        <f aca="false">(C11/B11)*100</f>
        <v>84.0179836176634</v>
      </c>
    </row>
    <row r="12" customFormat="false" ht="12.85" hidden="false" customHeight="true" outlineLevel="0" collapsed="false">
      <c r="A12" s="0" t="s">
        <v>25</v>
      </c>
      <c r="B12" s="1" t="n">
        <f aca="false">(0.049*ht)-(0.0258*age)-3.208</f>
        <v>3.342</v>
      </c>
      <c r="C12" s="1" t="n">
        <f aca="false">(0.0358*ht)-(0.0262*age)-1.774</f>
        <v>2.644</v>
      </c>
      <c r="D12" s="1"/>
      <c r="E12" s="1"/>
      <c r="F12" s="1"/>
      <c r="G12" s="1"/>
      <c r="H12" s="1" t="n">
        <f aca="false">(-0.1967*age)+89.565</f>
        <v>79.73</v>
      </c>
      <c r="I12" s="1" t="n">
        <f aca="false">90.08-(0.158*age)</f>
        <v>82.18</v>
      </c>
    </row>
    <row r="13" customFormat="false" ht="12.85" hidden="false" customHeight="true" outlineLevel="0" collapsed="false">
      <c r="A13" s="0" t="s">
        <v>26</v>
      </c>
      <c r="B13" s="0" t="s">
        <v>27</v>
      </c>
      <c r="E13" s="1" t="n">
        <f aca="false">-0.184+(age*0.012)-(0.0003449*age^2)+(0.0001465*ht^2)</f>
        <v>3.30415</v>
      </c>
      <c r="I13" s="0" t="n">
        <f aca="false">91.14-(0.159*age)</f>
        <v>83.19</v>
      </c>
    </row>
    <row r="14" customFormat="false" ht="12.85" hidden="false" customHeight="true" outlineLevel="0" collapsed="false">
      <c r="A14" s="0" t="s">
        <v>28</v>
      </c>
      <c r="E14" s="1" t="n">
        <f aca="false">-0.184+(0.00015*age)-(0.0002237*age^2)+(0.0001346*ht^2)</f>
        <v>2.71001</v>
      </c>
      <c r="I14" s="0" t="n">
        <f aca="false">91.57-(0.168*age)</f>
        <v>83.17</v>
      </c>
    </row>
    <row r="15" customFormat="false" ht="14.85" hidden="false" customHeight="true" outlineLevel="0" collapsed="false">
      <c r="A15" s="0" t="s">
        <v>29</v>
      </c>
      <c r="E15" s="1" t="n">
        <f aca="false">0.225-(0.00035*age)-(0.000224*age^2)+(0.0001407*ht^2)</f>
        <v>3.24942</v>
      </c>
    </row>
    <row r="16" customFormat="false" ht="12.85" hidden="false" customHeight="true" outlineLevel="0" collapsed="false">
      <c r="A16" s="0" t="s">
        <v>30</v>
      </c>
      <c r="B16" s="1" t="n">
        <f aca="false">-0.842+(0.027*ht)-(0.02*age)</f>
        <v>2.478</v>
      </c>
      <c r="C16" s="1" t="n">
        <f aca="false">-0.401+(0.021*ht)-(0.021*age)</f>
        <v>1.909</v>
      </c>
      <c r="D16" s="1"/>
      <c r="E16" s="1"/>
      <c r="F16" s="1"/>
      <c r="G16" s="1" t="n">
        <f aca="false">0.72+(0.019*ht)-(0.032*age)</f>
        <v>2.16</v>
      </c>
      <c r="H16" s="1" t="n">
        <f aca="false">(C16/B16)*100</f>
        <v>77.0379338175948</v>
      </c>
      <c r="I16" s="1"/>
    </row>
    <row r="17" customFormat="false" ht="12.85" hidden="false" customHeight="true" outlineLevel="0" collapsed="false">
      <c r="A17" s="0" t="s">
        <v>31</v>
      </c>
      <c r="B17" s="1" t="n">
        <f aca="false">-2.697-(0.0149*age)+(0.03894*ht)</f>
        <v>2.7884</v>
      </c>
      <c r="C17" s="1" t="n">
        <f aca="false">-1.272-(0.0199*age)+(0.02825*ht)</f>
        <v>2.253</v>
      </c>
      <c r="D17" s="1"/>
      <c r="E17" s="1"/>
      <c r="F17" s="1"/>
      <c r="G17" s="1" t="n">
        <f aca="false">2.253-(0.041*age)+(0.01309*ht)</f>
        <v>2.2974</v>
      </c>
      <c r="H17" s="1" t="n">
        <f aca="false">(C17/B17)*100</f>
        <v>80.7990245301965</v>
      </c>
      <c r="I17" s="1"/>
    </row>
    <row r="18" customFormat="false" ht="12.85" hidden="false" customHeight="true" outlineLevel="0" collapsed="false">
      <c r="A18" s="0" t="s">
        <v>32</v>
      </c>
      <c r="B18" s="1" t="n">
        <f aca="false">(0.0312*ht)-(0.022*age)-1.64</f>
        <v>2.252</v>
      </c>
      <c r="C18" s="1" t="n">
        <f aca="false">(0.0294*ht)-(0.0238*age)-1.609</f>
        <v>1.905</v>
      </c>
      <c r="D18" s="1"/>
      <c r="E18" s="1"/>
      <c r="F18" s="1"/>
      <c r="G18" s="1"/>
      <c r="H18" s="1" t="n">
        <f aca="false">(C18/B18)*100</f>
        <v>84.5914742451155</v>
      </c>
    </row>
    <row r="19" customFormat="false" ht="12.85" hidden="false" customHeight="true" outlineLevel="0" collapsed="false">
      <c r="A19" s="0" t="s">
        <v>33</v>
      </c>
      <c r="B19" s="1" t="n">
        <f aca="false">-5.87-(0.03*age)+(6.73*(ht/100))</f>
        <v>3.398</v>
      </c>
      <c r="C19" s="1" t="n">
        <f aca="false">-2.73-(0.031*age)+(4.47*(ht/100))</f>
        <v>2.872</v>
      </c>
      <c r="D19" s="1"/>
      <c r="E19" s="1" t="n">
        <f aca="false">-5.32-(0.03*age)+(6.46*(ht/100))</f>
        <v>3.516</v>
      </c>
      <c r="F19" s="1"/>
      <c r="G19" s="1"/>
      <c r="H19" s="1" t="n">
        <f aca="false">108.1-(0.24*age)-(10.6*(ht/100))</f>
        <v>79.14</v>
      </c>
      <c r="I19" s="1" t="n">
        <f aca="false">(107.1-(0.18*age)-(14.3*(ht/100))+(0.076*wt))</f>
        <v>80.92</v>
      </c>
    </row>
    <row r="20" customFormat="false" ht="12.85" hidden="false" customHeight="true" outlineLevel="0" collapsed="false">
      <c r="A20" s="0" t="s">
        <v>34</v>
      </c>
      <c r="B20" s="1" t="n">
        <f aca="false">-1.791-(0.024*age)+(3.276*(ht/100))</f>
        <v>2.2506</v>
      </c>
      <c r="C20" s="1" t="n">
        <f aca="false">-1.398-(0.023*age)+(2.848*(ht/100))</f>
        <v>2.0088</v>
      </c>
      <c r="D20" s="1"/>
      <c r="E20" s="1"/>
      <c r="F20" s="1" t="n">
        <f aca="false">-4.453-(0.038*age)+(6.695*(ht/100))</f>
        <v>4.359</v>
      </c>
      <c r="G20" s="1" t="n">
        <f aca="false">-1.221-(0.025*age)+(3.271*(ht/100))</f>
        <v>2.7626</v>
      </c>
      <c r="H20" s="1" t="n">
        <f aca="false">(0.993-(0.00022*age)-(0.045*(ht/100)))*100</f>
        <v>91</v>
      </c>
      <c r="I20" s="1"/>
    </row>
    <row r="21" customFormat="false" ht="12.85" hidden="false" customHeight="true" outlineLevel="0" collapsed="false">
      <c r="A21" s="0" t="s">
        <v>35</v>
      </c>
      <c r="B21" s="1" t="n">
        <f aca="false">-3.4-(0.019*age)+(4.656*(ht/100))</f>
        <v>3.0996</v>
      </c>
      <c r="C21" s="1" t="n">
        <f aca="false">-1.574-(0.021*age)+(3.247*(ht/100))</f>
        <v>2.5712</v>
      </c>
      <c r="D21" s="1"/>
      <c r="E21" s="1"/>
      <c r="F21" s="1"/>
      <c r="G21" s="1"/>
      <c r="H21" s="1" t="n">
        <f aca="false">111.77-(0.123*age)-(14.295*(ht/100))</f>
        <v>82.748</v>
      </c>
    </row>
    <row r="22" customFormat="false" ht="12.85" hidden="false" customHeight="true" outlineLevel="0" collapsed="false">
      <c r="A22" s="0" t="s">
        <v>36</v>
      </c>
      <c r="B22" s="1" t="n">
        <f aca="false">-3.471-(0.019*age)+(4.656*(ht/100))</f>
        <v>3.0286</v>
      </c>
      <c r="C22" s="1" t="n">
        <f aca="false">-1.636-(0.021*age)+(3.247*(ht/100))</f>
        <v>2.5092</v>
      </c>
      <c r="D22" s="1"/>
      <c r="E22" s="1"/>
      <c r="F22" s="1"/>
      <c r="G22" s="1"/>
      <c r="H22" s="1" t="n">
        <f aca="false">99.09-(0.123*age)-(6.57*(ht/100))</f>
        <v>82.428</v>
      </c>
    </row>
    <row r="23" customFormat="false" ht="12.85" hidden="false" customHeight="true" outlineLevel="0" collapsed="false">
      <c r="A23" s="0" t="s">
        <v>37</v>
      </c>
      <c r="B23" s="1" t="n">
        <f aca="false">-2.9208-(0.0122*age)+(0.0407*ht)</f>
        <v>2.9812</v>
      </c>
      <c r="C23" s="1" t="n">
        <f aca="false">-1.6158-(0.0178*age)+(0.0298*ht)</f>
        <v>2.2622</v>
      </c>
      <c r="D23" s="1"/>
      <c r="E23" s="1"/>
      <c r="F23" s="1"/>
      <c r="G23" s="1"/>
      <c r="H23" s="1" t="n">
        <f aca="false">(C23/B23)*100</f>
        <v>75.8821950892258</v>
      </c>
      <c r="I23" s="1"/>
    </row>
    <row r="24" customFormat="false" ht="12.85" hidden="false" customHeight="true" outlineLevel="0" collapsed="false">
      <c r="A24" s="0" t="s">
        <v>38</v>
      </c>
      <c r="B24" s="1" t="n">
        <f aca="false">(4.321*(ht/100))-(0.023*age)-2.379</f>
        <v>3.3846</v>
      </c>
      <c r="C24" s="1" t="n">
        <f aca="false">(3.321*(ht/100))-(0.025*age)-1.394</f>
        <v>2.6696</v>
      </c>
      <c r="D24" s="1"/>
      <c r="E24" s="1"/>
      <c r="F24" s="1" t="n">
        <f aca="false">(4.087*(ht/100))-(0.05*age)+2.945</f>
        <v>6.9842</v>
      </c>
      <c r="G24" s="1"/>
      <c r="H24" s="1" t="n">
        <f aca="false">(-0.172*age)+88.134</f>
        <v>79.534</v>
      </c>
      <c r="I24" s="1"/>
    </row>
    <row r="25" customFormat="false" ht="12.85" hidden="false" customHeight="true" outlineLevel="0" collapsed="false">
      <c r="A25" s="0" t="s">
        <v>39</v>
      </c>
      <c r="B25" s="1"/>
      <c r="C25" s="1"/>
      <c r="D25" s="1" t="n">
        <f aca="false">(J25/100)*B4</f>
        <v>3.187041792</v>
      </c>
      <c r="E25" s="1"/>
      <c r="F25" s="1"/>
      <c r="G25" s="1"/>
      <c r="H25" s="1"/>
      <c r="I25" s="1"/>
      <c r="J25" s="1" t="n">
        <f aca="false">102.41-(0.1826*age)</f>
        <v>93.28</v>
      </c>
    </row>
    <row r="26" customFormat="false" ht="12.85" hidden="false" customHeight="true" outlineLevel="0" collapsed="false">
      <c r="A26" s="0" t="s">
        <v>40</v>
      </c>
      <c r="B26" s="1"/>
      <c r="C26" s="1"/>
      <c r="D26" s="1" t="n">
        <f aca="false">(J26/100)*B5</f>
        <v>2.614867104</v>
      </c>
      <c r="E26" s="1"/>
      <c r="F26" s="1"/>
      <c r="G26" s="1"/>
      <c r="H26" s="1"/>
      <c r="I26" s="1"/>
      <c r="J26" s="1" t="n">
        <f aca="false">101.74-(0.1568*age)</f>
        <v>93.9</v>
      </c>
    </row>
    <row r="27" customFormat="false" ht="12.85" hidden="false" customHeight="true" outlineLevel="0" collapsed="false">
      <c r="A27" s="0" t="s">
        <v>41</v>
      </c>
      <c r="B27" s="1"/>
      <c r="C27" s="1"/>
      <c r="D27" s="1" t="n">
        <f aca="false">(J27/100)*B6</f>
        <v>3.0972792704</v>
      </c>
      <c r="E27" s="1"/>
      <c r="F27" s="1"/>
      <c r="G27" s="1"/>
      <c r="H27" s="1"/>
      <c r="I27" s="1"/>
      <c r="J27" s="1" t="n">
        <f aca="false">101.74-(0.174*age)</f>
        <v>93.04</v>
      </c>
    </row>
    <row r="28" customFormat="false" ht="14.85" hidden="false" customHeight="true" outlineLevel="0" collapsed="false">
      <c r="A28" s="0" t="s">
        <v>42</v>
      </c>
      <c r="B28" s="1" t="n">
        <f aca="false">(0.0441*ht)-(0.0189*age)-2.848</f>
        <v>3.263</v>
      </c>
      <c r="C28" s="1" t="n">
        <f aca="false">(0.0314*ht)-(0.0203*age)-1.353</f>
        <v>2.656</v>
      </c>
      <c r="D28" s="1"/>
      <c r="E28" s="1" t="n">
        <f aca="false">(0.0437*ht)-(0.0196*age)-2.769</f>
        <v>3.243</v>
      </c>
      <c r="F28" s="1"/>
      <c r="G28" s="1"/>
      <c r="H28" s="1" t="n">
        <f aca="false">(-0.14*ht)-(0.158*age)+111.5</f>
        <v>81.2</v>
      </c>
      <c r="I28" s="1" t="n">
        <f aca="false">(-0.107*ht)-(0.141*age)+105.9</f>
        <v>81.73</v>
      </c>
      <c r="J28" s="1"/>
    </row>
    <row r="29" customFormat="false" ht="12.85" hidden="false" customHeight="true" outlineLevel="0" collapsed="false">
      <c r="A29" s="0" t="s">
        <v>43</v>
      </c>
      <c r="B29" s="1" t="n">
        <f aca="false">(0.046167*ht)-(0.022557*age)-3.274</f>
        <v>2.98487</v>
      </c>
      <c r="C29" s="1" t="n">
        <f aca="false">(0.039489*ht)-(0.023593*age)-2.498</f>
        <v>2.64059</v>
      </c>
      <c r="D29" s="1"/>
      <c r="E29" s="1" t="n">
        <f aca="false">(0.036296*ht)-(0.034202*age)-0.694</f>
        <v>3.40326</v>
      </c>
      <c r="F29" s="1"/>
      <c r="G29" s="1"/>
      <c r="H29" s="1" t="n">
        <f aca="false">(C29/B29)*100</f>
        <v>88.4658293326008</v>
      </c>
      <c r="I29" s="1"/>
      <c r="J29" s="1"/>
    </row>
    <row r="30" customFormat="false" ht="12.85" hidden="false" customHeight="true" outlineLevel="0" collapsed="false">
      <c r="A30" s="0" t="s">
        <v>44</v>
      </c>
      <c r="B30" s="1" t="n">
        <f aca="false">(0.045*ht)-(0.016*age)-3.47</f>
        <v>2.93</v>
      </c>
      <c r="C30" s="1" t="n">
        <f aca="false">(0.036*ht)-(0.018*age)-2.482</f>
        <v>2.378</v>
      </c>
      <c r="D30" s="1"/>
      <c r="E30" s="1"/>
      <c r="F30" s="1" t="n">
        <f aca="false">((4.076*ht)-(0.499*age)-226.648)/60</f>
        <v>6.67603333333333</v>
      </c>
      <c r="G30" s="1" t="n">
        <f aca="false">(0.031*ht)-(0.021*age)-1.337</f>
        <v>2.573</v>
      </c>
      <c r="H30" s="1" t="n">
        <f aca="false">(-0.072*ht)-(0.142*age)+100.67</f>
        <v>82.05</v>
      </c>
      <c r="I30" s="1"/>
      <c r="J30" s="1"/>
    </row>
    <row r="31" customFormat="false" ht="14.85" hidden="false" customHeight="true" outlineLevel="0" collapsed="false">
      <c r="A31" s="0" t="s">
        <v>45</v>
      </c>
      <c r="B31" s="1" t="n">
        <f aca="false">-1.4297+(0.0302*ht)-(0.0159*age)</f>
        <v>2.6073</v>
      </c>
      <c r="C31" s="1" t="n">
        <f aca="false">-1.0375+(0.0256*ht)-(0.0187*age)</f>
        <v>2.1235</v>
      </c>
      <c r="D31" s="1"/>
      <c r="E31" s="1"/>
      <c r="F31" s="1" t="n">
        <f aca="false">-7.463+(0.0874*ht)</f>
        <v>6.521</v>
      </c>
      <c r="G31" s="1" t="n">
        <f aca="false">6.3649-(0.0795*age)</f>
        <v>2.3899</v>
      </c>
      <c r="H31" s="1" t="n">
        <f aca="false">(C31/B31)*100</f>
        <v>81.4444060905918</v>
      </c>
      <c r="I31" s="1"/>
      <c r="J31" s="1"/>
    </row>
    <row r="32" customFormat="false" ht="14.85" hidden="false" customHeight="true" outlineLevel="0" collapsed="false">
      <c r="A32" s="0" t="s">
        <v>46</v>
      </c>
      <c r="B32" s="1" t="n">
        <f aca="false">(0.03951*ht)+(0.006892*wt)-(0.00012728*age^2)-3.0006</f>
        <v>3.5197</v>
      </c>
      <c r="C32" s="1" t="n">
        <f aca="false">(0.03558*ht)-(0.000192*age^2)-2.4114</f>
        <v>2.8014</v>
      </c>
      <c r="D32" s="1"/>
      <c r="E32" s="1"/>
      <c r="F32" s="1"/>
      <c r="G32" s="1"/>
      <c r="H32" s="1" t="n">
        <f aca="false">(C32/B32)*100</f>
        <v>79.5920106827286</v>
      </c>
      <c r="I32" s="1"/>
      <c r="J32" s="1"/>
    </row>
    <row r="33" customFormat="false" ht="14.85" hidden="false" customHeight="true" outlineLevel="0" collapsed="false">
      <c r="A33" s="0" t="s">
        <v>47</v>
      </c>
      <c r="B33" s="1" t="n">
        <f aca="false">EXP(-9.069+(2.013*LN(ht))+(0.00847*age)-(0.000155*age^2))</f>
        <v>3.26521264768079</v>
      </c>
      <c r="C33" s="1" t="n">
        <f aca="false">EXP(-8.397+(1.865*LN(ht))+(0.0057*age)-(0.00015*age^2))</f>
        <v>2.65966231479876</v>
      </c>
      <c r="D33" s="1"/>
      <c r="E33" s="1"/>
      <c r="F33" s="1" t="n">
        <f aca="false">EXP(-4.794+(1.316*LN(ht))+(0.00926*age)-(0.000143*age^2))</f>
        <v>7.31867090291842</v>
      </c>
      <c r="G33" s="1"/>
      <c r="H33" s="1" t="n">
        <f aca="false">EXP(5.637-(0.219*LN(ht))-(0.00249*age)+(0.000004*age^2))</f>
        <v>82.3548157909429</v>
      </c>
      <c r="I33" s="1"/>
      <c r="J33" s="1"/>
    </row>
    <row r="34" customFormat="false" ht="14.85" hidden="false" customHeight="true" outlineLevel="0" collapsed="false">
      <c r="A34" s="0" t="s">
        <v>48</v>
      </c>
      <c r="B34" s="1" t="n">
        <f aca="false">(0.04703*ht)-(0.0246*age)-3.187</f>
        <v>3.1078</v>
      </c>
      <c r="C34" s="1" t="n">
        <f aca="false">(0.03715*ht)-(0.0238*age)-2.072</f>
        <v>2.682</v>
      </c>
      <c r="D34" s="1"/>
      <c r="E34" s="1"/>
      <c r="F34" s="1" t="n">
        <f aca="false">(0.06402*ht)-(0.039*age)-1.607</f>
        <v>6.6862</v>
      </c>
      <c r="G34" s="1" t="n">
        <f aca="false">(0.02256*ht)-(0.0267*age)+1.242</f>
        <v>3.5166</v>
      </c>
      <c r="H34" s="1" t="n">
        <f aca="false">(-0.133248*ht)-(0.084349*age)+112.1081</f>
        <v>86.57097</v>
      </c>
      <c r="I34" s="1"/>
      <c r="J34" s="1"/>
    </row>
    <row r="35" customFormat="false" ht="14.85" hidden="false" customHeight="true" outlineLevel="0" collapsed="false">
      <c r="A35" s="0" t="s">
        <v>49</v>
      </c>
      <c r="B35" s="1" t="n">
        <f aca="false">(0.505*(ht/100))-(0.0144*age)+2.084</f>
        <v>2.172</v>
      </c>
      <c r="C35" s="1" t="n">
        <f aca="false">2.336-(0.00846*age)</f>
        <v>1.913</v>
      </c>
      <c r="D35" s="1"/>
      <c r="E35" s="1"/>
      <c r="F35" s="1"/>
      <c r="G35" s="1"/>
      <c r="H35" s="1" t="n">
        <f aca="false">(C35/B35)*100</f>
        <v>88.0755064456722</v>
      </c>
      <c r="I35" s="1"/>
      <c r="J35" s="1"/>
      <c r="K35" s="1"/>
      <c r="L35" s="1"/>
      <c r="M35" s="1"/>
      <c r="N35" s="1"/>
      <c r="O35" s="1"/>
    </row>
    <row r="36" customFormat="false" ht="12.85" hidden="false" customHeight="true" outlineLevel="0" collapsed="false">
      <c r="A36" s="0" t="s">
        <v>50</v>
      </c>
      <c r="B36" s="1" t="n">
        <f aca="false">(0.0413*ht)-(0.0176*age)-2.5484</f>
        <v>3.1796</v>
      </c>
      <c r="C36" s="1" t="n">
        <f aca="false">(0.0341*ht)-(0.0204*age)-1.8126</f>
        <v>2.6234</v>
      </c>
      <c r="D36" s="1"/>
      <c r="E36" s="1"/>
      <c r="F36" s="1"/>
      <c r="G36" s="1" t="n">
        <f aca="false">(0.033*ht)-(0.0361*age)-0.3758</f>
        <v>3.0992</v>
      </c>
      <c r="H36" s="1" t="n">
        <f aca="false">91.7259-(0.1862*age)</f>
        <v>82.4159</v>
      </c>
      <c r="I36" s="1"/>
      <c r="J36" s="1"/>
    </row>
    <row r="37" customFormat="false" ht="12.85" hidden="false" customHeight="true" outlineLevel="0" collapsed="false">
      <c r="A37" s="0" t="s">
        <v>51</v>
      </c>
      <c r="B37" s="1" t="n">
        <f aca="false">-2.05-(0.014*age)-(0.00004*age^2)+(0.035*ht)</f>
        <v>2.75</v>
      </c>
      <c r="C37" s="1" t="n">
        <f aca="false">-1.07-(0.03*age)+(0.000013*age^2)+(0.027*ht)</f>
        <v>1.7825</v>
      </c>
      <c r="D37" s="1"/>
      <c r="E37" s="1"/>
      <c r="F37" s="1"/>
      <c r="G37" s="1"/>
      <c r="H37" s="1" t="n">
        <f aca="false">111-(0.36*age)+(0.003*age^2)-(0.1*ht)</f>
        <v>84.5</v>
      </c>
      <c r="I37" s="1"/>
      <c r="J37" s="1"/>
    </row>
    <row r="38" customFormat="false" ht="12.85" hidden="false" customHeight="true" outlineLevel="0" collapsed="false">
      <c r="A38" s="0" t="s">
        <v>52</v>
      </c>
      <c r="B38" s="1" t="n">
        <f aca="false">AVERAGE(B4:B37)</f>
        <v>3.0109046963598</v>
      </c>
      <c r="C38" s="1" t="n">
        <f aca="false">AVERAGE(C4:C37)</f>
        <v>2.45050756557352</v>
      </c>
      <c r="D38" s="1" t="n">
        <f aca="false">AVERAGE(D4:D37)</f>
        <v>2.96639605546667</v>
      </c>
      <c r="E38" s="1" t="n">
        <f aca="false">AVERAGE(E4:E37)</f>
        <v>3.18913644444444</v>
      </c>
      <c r="F38" s="1" t="n">
        <f aca="false">AVERAGE(F4:F37)</f>
        <v>6.40067069291686</v>
      </c>
      <c r="G38" s="1" t="n">
        <f aca="false">AVERAGE(G4:G37)</f>
        <v>2.70602911447608</v>
      </c>
      <c r="H38" s="1" t="n">
        <f aca="false">AVERAGE(H4:H37)</f>
        <v>81.828580652021</v>
      </c>
      <c r="I38" s="1" t="n">
        <f aca="false">AVERAGE(I4:I37)</f>
        <v>82.50375</v>
      </c>
      <c r="J38" s="1" t="n">
        <f aca="false">AVERAGE(J4:J37)</f>
        <v>93.4066666666667</v>
      </c>
    </row>
    <row r="44" customFormat="false" ht="14.85" hidden="false" customHeight="true" outlineLevel="0" collapsed="false"/>
    <row r="1048576" customFormat="false" ht="12.8" hidden="false" customHeight="true" outlineLevel="0" collapsed="false"/>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drawing r:id="rId1"/>
</worksheet>
</file>

<file path=xl/worksheets/sheet3.xml><?xml version="1.0" encoding="utf-8"?>
<worksheet xmlns="http://schemas.openxmlformats.org/spreadsheetml/2006/main" xmlns:r="http://schemas.openxmlformats.org/officeDocument/2006/relationships">
  <sheetPr filterMode="false">
    <pageSetUpPr fitToPage="false"/>
  </sheetPr>
  <dimension ref="A1:P39"/>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A45" activeCellId="0" sqref="A45"/>
    </sheetView>
  </sheetViews>
  <sheetFormatPr defaultRowHeight="12.8"/>
  <cols>
    <col collapsed="false" hidden="false" max="1" min="1" style="0" width="20.4030612244898"/>
    <col collapsed="false" hidden="false" max="2" min="2" style="0" width="8.36224489795918"/>
    <col collapsed="false" hidden="false" max="3" min="3" style="0" width="7.98979591836735"/>
    <col collapsed="false" hidden="false" max="4" min="4" style="0" width="8.17857142857143"/>
    <col collapsed="false" hidden="false" max="5" min="5" style="0" width="7.98979591836735"/>
    <col collapsed="false" hidden="false" max="6" min="6" style="0" width="6.95408163265306"/>
    <col collapsed="false" hidden="false" max="7" min="7" style="0" width="9.30612244897959"/>
    <col collapsed="false" hidden="false" max="8" min="8" style="0" width="10.0612244897959"/>
    <col collapsed="false" hidden="false" max="9" min="9" style="0" width="10.719387755102"/>
    <col collapsed="false" hidden="false" max="1025" min="10" style="0" width="11.5204081632653"/>
  </cols>
  <sheetData>
    <row r="1" customFormat="false" ht="12.85" hidden="false" customHeight="true" outlineLevel="0" collapsed="false">
      <c r="A1" s="2" t="s">
        <v>53</v>
      </c>
      <c r="B1" s="2"/>
      <c r="C1" s="2"/>
      <c r="D1" s="2"/>
      <c r="E1" s="2"/>
      <c r="F1" s="2"/>
      <c r="G1" s="2"/>
      <c r="H1" s="2"/>
      <c r="I1" s="2"/>
    </row>
    <row r="2" customFormat="false" ht="12.85" hidden="false" customHeight="true" outlineLevel="0" collapsed="false">
      <c r="A2" s="2"/>
      <c r="B2" s="2"/>
      <c r="C2" s="2"/>
      <c r="D2" s="2"/>
      <c r="E2" s="2"/>
      <c r="F2" s="2"/>
      <c r="G2" s="2"/>
      <c r="H2" s="2"/>
      <c r="I2" s="2"/>
    </row>
    <row r="3" customFormat="false" ht="12.85" hidden="false" customHeight="true" outlineLevel="0" collapsed="false">
      <c r="A3" s="2" t="s">
        <v>54</v>
      </c>
      <c r="B3" s="3" t="s">
        <v>8</v>
      </c>
      <c r="C3" s="3" t="s">
        <v>9</v>
      </c>
      <c r="D3" s="3" t="s">
        <v>10</v>
      </c>
      <c r="E3" s="3" t="s">
        <v>11</v>
      </c>
      <c r="F3" s="3" t="s">
        <v>12</v>
      </c>
      <c r="G3" s="3" t="s">
        <v>13</v>
      </c>
      <c r="H3" s="3" t="s">
        <v>14</v>
      </c>
      <c r="I3" s="3" t="s">
        <v>15</v>
      </c>
      <c r="J3" s="3" t="s">
        <v>16</v>
      </c>
    </row>
    <row r="4" customFormat="false" ht="14.85" hidden="false" customHeight="true" outlineLevel="0" collapsed="false">
      <c r="A4" s="0" t="s">
        <v>55</v>
      </c>
      <c r="B4" s="1" t="n">
        <f aca="false">-0.1933+(0.00064*age)-(0.000269*age^2)+(0.00018642*ht^2)</f>
        <v>3.938552</v>
      </c>
      <c r="C4" s="1" t="n">
        <f aca="false">0.5536-(0.01303*age)-(0.000172*age^2)+(0.00014098*ht^2)</f>
        <v>3.081188</v>
      </c>
      <c r="D4" s="1"/>
      <c r="E4" s="1" t="n">
        <f aca="false">0.1102-(0.00842*age)-(0.000223*age^2)+(0.00018188*ht^2)</f>
        <v>3.787828</v>
      </c>
      <c r="F4" s="1" t="n">
        <f aca="false">1.0523+(0.08272*age)-(0.001301*age^2)+(0.00024962*ht^2)</f>
        <v>8.326072</v>
      </c>
      <c r="G4" s="1" t="n">
        <f aca="false">2.7006-(0.04995*age)+(0.00010345*(ht^2))</f>
        <v>2.85142</v>
      </c>
      <c r="H4" s="1" t="n">
        <f aca="false">88.066-(0.2066*age)</f>
        <v>77.736</v>
      </c>
      <c r="I4" s="0" t="n">
        <f aca="false">87-(0.139*age)</f>
        <v>80.05</v>
      </c>
    </row>
    <row r="5" customFormat="false" ht="14.85" hidden="false" customHeight="true" outlineLevel="0" collapsed="false">
      <c r="A5" s="0" t="s">
        <v>56</v>
      </c>
      <c r="B5" s="1" t="n">
        <f aca="false">-0.1517-(0.01821*age)+(0.00016643*ht^2)</f>
        <v>3.198408</v>
      </c>
      <c r="C5" s="1" t="n">
        <f aca="false">0.3411-(0.02309*age)+(0.00013194*ht^2)</f>
        <v>2.564264</v>
      </c>
      <c r="D5" s="1"/>
      <c r="E5" s="1" t="n">
        <f aca="false">-0.0547-(0.02114*age)+(0.00016429*ht^2)</f>
        <v>3.094124</v>
      </c>
      <c r="F5" s="1" t="n">
        <f aca="false">2.2257-(0.04082*age)+(0.00027333*ht^2)</f>
        <v>7.181948</v>
      </c>
      <c r="G5" s="1" t="n">
        <f aca="false">2.1477-(0.04238*age)+(0.00010461*ht^2)</f>
        <v>2.706716</v>
      </c>
      <c r="H5" s="1" t="n">
        <f aca="false">89.239-(0.1828*age)</f>
        <v>80.099</v>
      </c>
      <c r="I5" s="0" t="n">
        <f aca="false">88.72-(0.128*age)</f>
        <v>82.32</v>
      </c>
    </row>
    <row r="6" customFormat="false" ht="12.85" hidden="false" customHeight="true" outlineLevel="0" collapsed="false">
      <c r="A6" s="0" t="s">
        <v>57</v>
      </c>
      <c r="B6" s="1" t="n">
        <f aca="false">0.2376-(0.00891*age)-(0.000182*age^2)+(0.00017823*ht^2)</f>
        <v>3.899788</v>
      </c>
      <c r="C6" s="1" t="n">
        <f aca="false">0.6306-(0.02928*age)+(0.00015104*ht^2)</f>
        <v>3.033224</v>
      </c>
      <c r="D6" s="1"/>
      <c r="E6" s="1" t="n">
        <f aca="false">0.5737-(0.0286*age)+(0.0001784*ht^2)</f>
        <v>3.71074</v>
      </c>
      <c r="F6" s="1" t="n">
        <f aca="false">0.087+(0.0658*age)-(0.001195*age^2)+(0.00030243*ht^2)</f>
        <v>8.131708</v>
      </c>
      <c r="G6" s="1" t="n">
        <f aca="false">1.7503-(0.05018*age)+(0.00014473*ht^2)</f>
        <v>2.946388</v>
      </c>
      <c r="H6" s="1" t="n">
        <f aca="false">90.024-(0.2248*age)</f>
        <v>78.784</v>
      </c>
      <c r="I6" s="0" t="n">
        <f aca="false">89.22-(0.15*age)</f>
        <v>81.72</v>
      </c>
    </row>
    <row r="7" customFormat="false" ht="12.85" hidden="false" customHeight="true" outlineLevel="0" collapsed="false">
      <c r="A7" s="0" t="s">
        <v>58</v>
      </c>
      <c r="B7" s="1" t="n">
        <f aca="false">-5.473+(0.067*ht)-(0.025*age)</f>
        <v>3.997</v>
      </c>
      <c r="C7" s="1" t="n">
        <f aca="false">-2.832+(0.047*ht)-(0.03*age)</f>
        <v>3.188</v>
      </c>
      <c r="D7" s="1"/>
      <c r="E7" s="1"/>
      <c r="F7" s="1"/>
      <c r="G7" s="1"/>
      <c r="H7" s="1" t="n">
        <f aca="false">109.396-(0.113*ht)-(0.21*age)</f>
        <v>80.816</v>
      </c>
    </row>
    <row r="8" customFormat="false" ht="12.85" hidden="false" customHeight="true" outlineLevel="0" collapsed="false">
      <c r="A8" s="0" t="s">
        <v>59</v>
      </c>
      <c r="B8" s="1" t="n">
        <f aca="false">(0.148*(ht/2.54))-(0.025*age)-4.241</f>
        <v>3.83183464566929</v>
      </c>
      <c r="C8" s="1" t="n">
        <f aca="false">(0.092*(ht/2.54))-(0.032*age)-1.26</f>
        <v>2.93527559055118</v>
      </c>
      <c r="D8" s="1"/>
      <c r="E8" s="1"/>
      <c r="F8" s="1"/>
      <c r="G8" s="1" t="n">
        <f aca="false">(0.047*(ht/2.54))-(0.045*age)+2.513</f>
        <v>3.22362992125984</v>
      </c>
      <c r="H8" s="1" t="n">
        <f aca="false">(C8/B8)*100</f>
        <v>76.602355320019</v>
      </c>
    </row>
    <row r="9" customFormat="false" ht="12.85" hidden="false" customHeight="true" outlineLevel="0" collapsed="false">
      <c r="A9" s="0" t="s">
        <v>60</v>
      </c>
      <c r="B9" s="1" t="n">
        <f aca="false">(0.138*(ht/2.54))-(0.027*age)-3.445</f>
        <v>3.89791338582677</v>
      </c>
      <c r="C9" s="1" t="n">
        <f aca="false">(0.093*(ht/2.54))-(0.032*age)-1.343</f>
        <v>2.91526771653543</v>
      </c>
      <c r="D9" s="1"/>
      <c r="E9" s="1"/>
      <c r="F9" s="1"/>
      <c r="G9" s="1" t="n">
        <f aca="false">(0.052*(ht/2.54))-(0.044*age)+2.098</f>
        <v>3.1735905511811</v>
      </c>
      <c r="H9" s="1" t="n">
        <f aca="false">(C9/B9)*100</f>
        <v>74.7904693607523</v>
      </c>
    </row>
    <row r="10" customFormat="false" ht="12.85" hidden="false" customHeight="true" outlineLevel="0" collapsed="false">
      <c r="A10" s="0" t="s">
        <v>61</v>
      </c>
      <c r="B10" s="1" t="n">
        <f aca="false">-8.7818+(0.0844*ht)-(0.0298*age)</f>
        <v>3.2322</v>
      </c>
      <c r="C10" s="1" t="n">
        <f aca="false">-6.5147+(0.0665*ht)-(0.0292*age)</f>
        <v>2.6653</v>
      </c>
      <c r="D10" s="1"/>
      <c r="E10" s="1"/>
      <c r="F10" s="1"/>
      <c r="G10" s="1" t="n">
        <f aca="false">-4.5175+(0.0579*ht)-(0.0363*age)</f>
        <v>2.9315</v>
      </c>
      <c r="H10" s="1" t="n">
        <f aca="false">(C10/B10)*100</f>
        <v>82.4608625703855</v>
      </c>
    </row>
    <row r="11" customFormat="false" ht="12.85" hidden="false" customHeight="true" outlineLevel="0" collapsed="false">
      <c r="A11" s="0" t="s">
        <v>62</v>
      </c>
      <c r="B11" s="1" t="n">
        <f aca="false">-6.142-(0.0281*age)+(7*(ht/100))</f>
        <v>3.653</v>
      </c>
      <c r="C11" s="1" t="n">
        <f aca="false">-4.261-(0.0296*age)+(5.465*(ht/100))</f>
        <v>3.003</v>
      </c>
      <c r="H11" s="1" t="n">
        <f aca="false">(C11/B11)*100</f>
        <v>82.2064056939502</v>
      </c>
    </row>
    <row r="12" customFormat="false" ht="12.85" hidden="false" customHeight="true" outlineLevel="0" collapsed="false">
      <c r="A12" s="0" t="s">
        <v>63</v>
      </c>
      <c r="C12" s="0" t="n">
        <f aca="false">-1.845-(0.018*age)+(0.035*ht)</f>
        <v>2.855</v>
      </c>
      <c r="H12" s="1"/>
    </row>
    <row r="13" customFormat="false" ht="12.85" hidden="false" customHeight="true" outlineLevel="0" collapsed="false">
      <c r="A13" s="0" t="s">
        <v>25</v>
      </c>
      <c r="B13" s="1" t="n">
        <f aca="false">(0.0807*ht)-(0.0129*age)-8.84</f>
        <v>3.427</v>
      </c>
      <c r="C13" s="1" t="n">
        <f aca="false">(0.0599*ht)-(0.024*age)-5.65</f>
        <v>2.734</v>
      </c>
      <c r="H13" s="1" t="n">
        <f aca="false">(-0.328*age)+94.789</f>
        <v>78.389</v>
      </c>
    </row>
    <row r="14" customFormat="false" ht="12.85" hidden="false" customHeight="true" outlineLevel="0" collapsed="false">
      <c r="A14" s="0" t="s">
        <v>26</v>
      </c>
      <c r="E14" s="1" t="n">
        <f aca="false">0.089-(0.00735*age)-(0.0002339*age^2)+(0.0001817*ht^2)</f>
        <v>3.78827</v>
      </c>
      <c r="H14" s="1"/>
      <c r="I14" s="0" t="n">
        <f aca="false">87.27-(0.137*age)</f>
        <v>80.42</v>
      </c>
    </row>
    <row r="15" customFormat="false" ht="12.85" hidden="false" customHeight="true" outlineLevel="0" collapsed="false">
      <c r="A15" s="0" t="s">
        <v>28</v>
      </c>
      <c r="E15" s="1" t="n">
        <f aca="false">0.09-(0.028*age)+(0.0000737*age^2)+(0.0001638*ht^2)</f>
        <v>3.06753</v>
      </c>
      <c r="H15" s="1"/>
      <c r="I15" s="0" t="n">
        <f aca="false">88.58-(0.125*age)</f>
        <v>82.33</v>
      </c>
    </row>
    <row r="16" customFormat="false" ht="12.85" hidden="false" customHeight="true" outlineLevel="0" collapsed="false">
      <c r="A16" s="0" t="s">
        <v>29</v>
      </c>
      <c r="E16" s="1" t="n">
        <f aca="false">0.399-(0.019*age)-(0.0001032*age^2)+(0.0001784*ht^2)</f>
        <v>3.75804</v>
      </c>
      <c r="H16" s="1"/>
      <c r="I16" s="0" t="n">
        <f aca="false">89.09-(0.147*age)</f>
        <v>81.74</v>
      </c>
    </row>
    <row r="17" customFormat="false" ht="12.85" hidden="false" customHeight="true" outlineLevel="0" collapsed="false">
      <c r="A17" s="0" t="s">
        <v>30</v>
      </c>
      <c r="B17" s="1" t="n">
        <f aca="false">-2.754+(0.043*ht)+(-0.024*age)</f>
        <v>2.926</v>
      </c>
      <c r="C17" s="1" t="n">
        <f aca="false">-1.936+(0.035*ht)-(0.026*age)</f>
        <v>2.364</v>
      </c>
      <c r="D17" s="1"/>
      <c r="E17" s="1"/>
      <c r="F17" s="1"/>
      <c r="G17" s="1" t="n">
        <f aca="false">0.736+(0.025*ht)-(0.044*age)</f>
        <v>2.536</v>
      </c>
      <c r="H17" s="1" t="n">
        <f aca="false">(C17/B17)*100</f>
        <v>80.7928913192071</v>
      </c>
    </row>
    <row r="18" customFormat="false" ht="12.85" hidden="false" customHeight="true" outlineLevel="0" collapsed="false">
      <c r="A18" s="0" t="s">
        <v>31</v>
      </c>
      <c r="B18" s="1" t="n">
        <f aca="false">-4.424-(0.0193*age)+(0.05434*ht)</f>
        <v>3.3054</v>
      </c>
      <c r="C18" s="1" t="n">
        <f aca="false">-2.404-(0.0254*age)+(0.03978*ht)</f>
        <v>2.6908</v>
      </c>
      <c r="D18" s="1"/>
      <c r="E18" s="1"/>
      <c r="F18" s="1"/>
      <c r="G18" s="1" t="n">
        <f aca="false">-0.302-(0.0459*age)+(0.03379*ht)</f>
        <v>2.8094</v>
      </c>
      <c r="H18" s="1" t="n">
        <f aca="false">(C18/B18)*100</f>
        <v>81.4061838204151</v>
      </c>
    </row>
    <row r="19" customFormat="false" ht="12.85" hidden="false" customHeight="true" outlineLevel="0" collapsed="false">
      <c r="A19" s="0" t="s">
        <v>32</v>
      </c>
      <c r="B19" s="1" t="n">
        <f aca="false">(0.0407*ht)-(0.0296*age)-2.343</f>
        <v>2.689</v>
      </c>
      <c r="C19" s="1" t="n">
        <f aca="false">(0.0353*ht)-(0.0315*age)-1.78</f>
        <v>2.293</v>
      </c>
      <c r="D19" s="1"/>
      <c r="E19" s="1"/>
      <c r="F19" s="1"/>
      <c r="G19" s="1"/>
      <c r="H19" s="1" t="n">
        <f aca="false">(C19/B19)*100</f>
        <v>85.2733358125697</v>
      </c>
    </row>
    <row r="20" customFormat="false" ht="12.85" hidden="false" customHeight="true" outlineLevel="0" collapsed="false">
      <c r="A20" s="0" t="s">
        <v>33</v>
      </c>
      <c r="B20" s="1" t="n">
        <f aca="false">-5.22-(age*0.03)+(6.73*(ht/100))</f>
        <v>4.048</v>
      </c>
      <c r="C20" s="1" t="n">
        <f aca="false">-2.16-(0.031*age)+(4.47*(ht/100))</f>
        <v>3.442</v>
      </c>
      <c r="D20" s="1"/>
      <c r="E20" s="1" t="n">
        <f aca="false">-4.66-(0.03*age)+(6.46*(ht/100))</f>
        <v>4.176</v>
      </c>
      <c r="F20" s="1"/>
      <c r="G20" s="1"/>
      <c r="H20" s="1" t="n">
        <f aca="false">108.1-(0.24*age)-(10.6*(ht/100))</f>
        <v>79.14</v>
      </c>
      <c r="I20" s="1" t="n">
        <f aca="false">107.1-(0.18*age)-(14.3*(ht/100))+(0.076*wt)</f>
        <v>80.92</v>
      </c>
    </row>
    <row r="21" customFormat="false" ht="12.85" hidden="false" customHeight="true" outlineLevel="0" collapsed="false">
      <c r="A21" s="0" t="s">
        <v>34</v>
      </c>
      <c r="B21" s="1" t="n">
        <f aca="false">-2.549-(0.029*age)+(4.266*(ht/100))</f>
        <v>2.8266</v>
      </c>
      <c r="C21" s="1" t="n">
        <f aca="false">-1.933-(0.027*age)+(3.609*(ht/100))</f>
        <v>2.4914</v>
      </c>
      <c r="D21" s="1"/>
      <c r="E21" s="1"/>
      <c r="F21" s="1" t="n">
        <f aca="false">-0.814-(0.038*age)+(5.429*(ht/100))</f>
        <v>5.9724</v>
      </c>
      <c r="G21" s="1" t="n">
        <f aca="false">1.321-(0.035*age)+(2.301*(ht/100))</f>
        <v>3.2526</v>
      </c>
      <c r="H21" s="1" t="n">
        <f aca="false">(0.959-(0.00043*age)-(0.034*(ht/100)))*100</f>
        <v>88.31</v>
      </c>
    </row>
    <row r="22" customFormat="false" ht="12.85" hidden="false" customHeight="true" outlineLevel="0" collapsed="false">
      <c r="A22" s="0" t="s">
        <v>35</v>
      </c>
      <c r="B22" s="1" t="n">
        <f aca="false">-5.209-(0.026*age)+(6.277*(ht/100))</f>
        <v>3.5342</v>
      </c>
      <c r="C22" s="1" t="n">
        <f aca="false">-3.302-(0.026*age)+(4.686*(ht/100))</f>
        <v>2.8956</v>
      </c>
      <c r="D22" s="1"/>
      <c r="E22" s="1"/>
      <c r="F22" s="1"/>
      <c r="G22" s="1"/>
      <c r="H22" s="1" t="n">
        <f aca="false">111.77-(0.123*age)-(14.295*(ht/100))</f>
        <v>82.748</v>
      </c>
    </row>
    <row r="23" customFormat="false" ht="12.85" hidden="false" customHeight="true" outlineLevel="0" collapsed="false">
      <c r="A23" s="0" t="s">
        <v>36</v>
      </c>
      <c r="B23" s="1" t="n">
        <f aca="false">-5.28-(0.026*age)+(6.277*(ht/100))</f>
        <v>3.4632</v>
      </c>
      <c r="C23" s="1" t="n">
        <f aca="false">-3.302-(0.026*age)+(4.686*(ht/100))</f>
        <v>2.8956</v>
      </c>
      <c r="D23" s="1"/>
      <c r="E23" s="1"/>
      <c r="F23" s="1"/>
      <c r="G23" s="1"/>
      <c r="H23" s="1" t="n">
        <f aca="false">99.09-(0.123*age)-(6.57*(ht/100))</f>
        <v>82.428</v>
      </c>
    </row>
    <row r="24" customFormat="false" ht="12.85" hidden="false" customHeight="true" outlineLevel="0" collapsed="false">
      <c r="A24" s="0" t="s">
        <v>37</v>
      </c>
      <c r="B24" s="1" t="n">
        <f aca="false">-6.839-(0.0195*age)+(0.0695*ht)</f>
        <v>3.306</v>
      </c>
      <c r="C24" s="1" t="n">
        <f aca="false">-3.6679-(0.0331*age)+(0.0501*ht)</f>
        <v>2.6931</v>
      </c>
      <c r="D24" s="1"/>
      <c r="E24" s="1"/>
      <c r="F24" s="1" t="n">
        <f aca="false">-0.1545-(0.0532*age)+(0.0625*ht)</f>
        <v>7.1855</v>
      </c>
      <c r="G24" s="1"/>
      <c r="H24" s="1" t="n">
        <f aca="false">(C24/B24)*100</f>
        <v>81.4609800362976</v>
      </c>
      <c r="I24" s="1"/>
    </row>
    <row r="25" customFormat="false" ht="12.85" hidden="false" customHeight="true" outlineLevel="0" collapsed="false">
      <c r="A25" s="0" t="s">
        <v>38</v>
      </c>
      <c r="B25" s="1" t="n">
        <f aca="false">(6.628*(ht/100))-(0.028*age)-5.377</f>
        <v>3.8278</v>
      </c>
      <c r="C25" s="1" t="n">
        <f aca="false">(3.961*(ht/100))-(0.033*age)-1.558</f>
        <v>3.1296</v>
      </c>
      <c r="D25" s="1"/>
      <c r="E25" s="1"/>
      <c r="F25" s="1" t="n">
        <f aca="false">(5.317*(ht/100))-(0.062*age)+3.884</f>
        <v>9.2912</v>
      </c>
      <c r="G25" s="1"/>
      <c r="H25" s="1" t="n">
        <f aca="false">(-21.476*(ht/100))-(0.242*age)+126.252</f>
        <v>79.7904</v>
      </c>
      <c r="I25" s="1"/>
    </row>
    <row r="26" customFormat="false" ht="12.85" hidden="false" customHeight="true" outlineLevel="0" collapsed="false">
      <c r="A26" s="0" t="s">
        <v>64</v>
      </c>
      <c r="B26" s="1" t="n">
        <f aca="false">-3.6108-(0.02206*age)+(0.05052*ht)</f>
        <v>3.3694</v>
      </c>
      <c r="C26" s="1" t="n">
        <f aca="false">-1.86083-(0.02755*age)+(0.03733*ht)</f>
        <v>2.73447</v>
      </c>
      <c r="D26" s="1" t="n">
        <f aca="false">-4.14955-(0.02856*age)+(0.04548*ht)+(0.04021*wt)-(0.00027*wt^2)</f>
        <v>3.19625</v>
      </c>
      <c r="E26" s="1" t="n">
        <f aca="false">-7.13742+(0.01467*age)+(0.04576*ht)+(0.09999*wt)-(0.0005*wt^2)-(0.00061*wt*age)</f>
        <v>3.31693</v>
      </c>
      <c r="F26" s="1"/>
      <c r="G26" s="1"/>
      <c r="H26" s="1" t="n">
        <f aca="false">112.75058-(0.25439*age)-(0.1181*ht)</f>
        <v>81.13508</v>
      </c>
      <c r="I26" s="1" t="n">
        <f aca="false">117.70616-(0.38371*age)-(0.09652*ht)-(0.14577*wt)+(0.00288*wt*age)</f>
        <v>82.94471</v>
      </c>
      <c r="J26" s="1" t="n">
        <f aca="false">108.5433-(0.18223*age)-(0.25934*BMI)</f>
        <v>91.8339484375</v>
      </c>
    </row>
    <row r="27" customFormat="false" ht="12.85" hidden="false" customHeight="true" outlineLevel="0" collapsed="false">
      <c r="A27" s="0" t="s">
        <v>39</v>
      </c>
      <c r="D27" s="1" t="n">
        <f aca="false">(J27/100)*B4</f>
        <v>3.6301633784</v>
      </c>
      <c r="J27" s="1" t="n">
        <f aca="false">100.63-(0.1692*age)</f>
        <v>92.17</v>
      </c>
    </row>
    <row r="28" customFormat="false" ht="12.85" hidden="false" customHeight="true" outlineLevel="0" collapsed="false">
      <c r="A28" s="0" t="s">
        <v>40</v>
      </c>
      <c r="D28" s="1" t="n">
        <f aca="false">(J28/100)*B5</f>
        <v>2.9583674796</v>
      </c>
      <c r="J28" s="1" t="n">
        <f aca="false">100.99-(0.1699*age)</f>
        <v>92.495</v>
      </c>
    </row>
    <row r="29" customFormat="false" ht="12.85" hidden="false" customHeight="true" outlineLevel="0" collapsed="false">
      <c r="A29" s="0" t="s">
        <v>41</v>
      </c>
      <c r="D29" s="1" t="n">
        <f aca="false">(J29/100)*B6</f>
        <v>3.5938496314</v>
      </c>
      <c r="J29" s="1" t="n">
        <f aca="false">101.02-(0.1773*age)</f>
        <v>92.155</v>
      </c>
    </row>
    <row r="30" customFormat="false" ht="12.85" hidden="false" customHeight="true" outlineLevel="0" collapsed="false">
      <c r="A30" s="0" t="s">
        <v>42</v>
      </c>
      <c r="B30" s="1" t="n">
        <f aca="false">(0.0517*ht)-(0.0207*age)-3.18</f>
        <v>4.057</v>
      </c>
      <c r="C30" s="1" t="n">
        <f aca="false">(0.0338*ht)-(0.0252*age)-0.789</f>
        <v>3.359</v>
      </c>
      <c r="D30" s="1"/>
      <c r="E30" s="1" t="n">
        <f aca="false">(0.0521*ht)-(0.0229*age)-3.179</f>
        <v>4.012</v>
      </c>
      <c r="F30" s="1"/>
      <c r="G30" s="1"/>
      <c r="H30" s="1" t="n">
        <f aca="false">(-0.175*ht)-(0.197*age)+120.3</f>
        <v>82.45</v>
      </c>
      <c r="I30" s="1" t="n">
        <f aca="false">(-0.165*ht)-(0.151*age)+117.1</f>
        <v>83.15</v>
      </c>
      <c r="J30" s="1"/>
    </row>
    <row r="31" customFormat="false" ht="12.85" hidden="false" customHeight="true" outlineLevel="0" collapsed="false">
      <c r="A31" s="0" t="s">
        <v>43</v>
      </c>
      <c r="B31" s="1" t="n">
        <f aca="false">(0.062271*ht)-(0.027131*age)-5.086</f>
        <v>3.52081</v>
      </c>
      <c r="C31" s="1" t="n">
        <f aca="false">(0.043822*ht)-(0.028801*age)-2.425</f>
        <v>3.14647</v>
      </c>
      <c r="D31" s="1"/>
      <c r="E31" s="1"/>
      <c r="F31" s="1"/>
      <c r="G31" s="1" t="n">
        <f aca="false">(0.026752*ht)-(0.04317*age)+2.008</f>
        <v>4.12982</v>
      </c>
      <c r="H31" s="1" t="n">
        <f aca="false">(C31/B31)*100</f>
        <v>89.3677875261659</v>
      </c>
      <c r="I31" s="1"/>
      <c r="J31" s="1"/>
    </row>
    <row r="32" customFormat="false" ht="12.85" hidden="false" customHeight="true" outlineLevel="0" collapsed="false">
      <c r="A32" s="0" t="s">
        <v>44</v>
      </c>
      <c r="B32" s="1" t="n">
        <f aca="false">(0.046*ht)-(0.018*age)-2.933</f>
        <v>3.527</v>
      </c>
      <c r="C32" s="1" t="n">
        <f aca="false">(0.036*ht)-(0.019*age)-1.886</f>
        <v>2.924</v>
      </c>
      <c r="D32" s="1"/>
      <c r="E32" s="1"/>
      <c r="F32" s="1" t="n">
        <f aca="false">(17.274-(1.243*age)+(3.471*ht))/60</f>
        <v>8.50806666666667</v>
      </c>
      <c r="G32" s="1" t="n">
        <f aca="false">(0.027*ht)-(0.024*age)+0.1</f>
        <v>3.22</v>
      </c>
      <c r="H32" s="1" t="n">
        <f aca="false">(-0.068*ht)-(0.095*age)+98.41</f>
        <v>82.78</v>
      </c>
      <c r="I32" s="1"/>
      <c r="J32" s="1"/>
    </row>
    <row r="33" customFormat="false" ht="14.85" hidden="false" customHeight="true" outlineLevel="0" collapsed="false">
      <c r="A33" s="0" t="s">
        <v>45</v>
      </c>
      <c r="B33" s="1" t="n">
        <f aca="false">-4.4496+(0.0526*ht)-(0.0099*age)</f>
        <v>3.4714</v>
      </c>
      <c r="C33" s="1" t="n">
        <f aca="false">-3.2068+(0.0436*ht)-(0.0205*age)</f>
        <v>2.7442</v>
      </c>
      <c r="D33" s="1"/>
      <c r="F33" s="1" t="n">
        <f aca="false">6.872+(0.0692*wt)-(0.0527*age)</f>
        <v>9.427</v>
      </c>
      <c r="G33" s="1" t="n">
        <f aca="false">6.3649-(0.0795*age)</f>
        <v>2.3899</v>
      </c>
      <c r="H33" s="1" t="n">
        <f aca="false">(C33/B33)*100</f>
        <v>79.0516794376909</v>
      </c>
      <c r="I33" s="1"/>
      <c r="J33" s="1"/>
    </row>
    <row r="34" customFormat="false" ht="14.85" hidden="false" customHeight="true" outlineLevel="0" collapsed="false">
      <c r="A34" s="0" t="s">
        <v>46</v>
      </c>
      <c r="B34" s="1" t="n">
        <f aca="false">(0.05292*ht)+(0.010947*wt)-(0.00008633*age^2)-4.8434</f>
        <v>4.229</v>
      </c>
      <c r="C34" s="1" t="n">
        <f aca="false">(0.04578*ht)-(0.0002484*age^2)-3.4132</f>
        <v>3.2906</v>
      </c>
      <c r="D34" s="1"/>
      <c r="E34" s="1"/>
      <c r="F34" s="1"/>
      <c r="G34" s="1"/>
      <c r="H34" s="1" t="n">
        <f aca="false">(C34/B34)*100</f>
        <v>77.8103570584063</v>
      </c>
      <c r="I34" s="1"/>
      <c r="J34" s="1"/>
    </row>
    <row r="35" customFormat="false" ht="14.85" hidden="false" customHeight="true" outlineLevel="0" collapsed="false">
      <c r="A35" s="0" t="s">
        <v>47</v>
      </c>
      <c r="B35" s="1" t="n">
        <f aca="false">EXP(-10.258+2.28*LN(ht)+(0.006767*age)-(0.000124*age^2))</f>
        <v>3.82571852279243</v>
      </c>
      <c r="C35" s="1" t="n">
        <f aca="false">EXP(-8.957+2.014*LN(ht)+(0.00281*age)-(0.000105*age^2))</f>
        <v>3.13428182178471</v>
      </c>
      <c r="D35" s="1"/>
      <c r="E35" s="1"/>
      <c r="F35" s="1" t="n">
        <f aca="false">EXP(-3.76+(1.17*LN(ht))+(0.00706*age)-(0.00011*age^2))</f>
        <v>9.54438824853961</v>
      </c>
      <c r="G35" s="1"/>
      <c r="H35" s="1" t="n">
        <f aca="false">EXP(6.291-(0.341*LN(ht))-(0.00441*age)+(0.000026*age^2))</f>
        <v>81.8481522725039</v>
      </c>
      <c r="I35" s="1"/>
      <c r="J35" s="1"/>
    </row>
    <row r="36" customFormat="false" ht="14.85" hidden="false" customHeight="true" outlineLevel="0" collapsed="false">
      <c r="A36" s="0" t="s">
        <v>48</v>
      </c>
      <c r="B36" s="1" t="n">
        <f aca="false">(0.05651*ht)-(0.0252*age)-4.093</f>
        <v>3.6886</v>
      </c>
      <c r="C36" s="1" t="n">
        <f aca="false">(0.045302*ht)-(0.02566*age)-2.78204</f>
        <v>3.18328</v>
      </c>
      <c r="D36" s="1"/>
      <c r="E36" s="1"/>
      <c r="F36" s="1" t="n">
        <f aca="false">(0.07759*ht)-(0.0435*age)-1.369</f>
        <v>8.8704</v>
      </c>
      <c r="G36" s="1" t="n">
        <f aca="false">(0.02625*ht)-(0.036*age)+1.782</f>
        <v>4.182</v>
      </c>
      <c r="H36" s="1" t="n">
        <f aca="false">(-0.0978*ht)-(0.104*age)+107.21</f>
        <v>86.362</v>
      </c>
      <c r="I36" s="1"/>
      <c r="J36" s="1"/>
    </row>
    <row r="37" customFormat="false" ht="14.85" hidden="false" customHeight="true" outlineLevel="0" collapsed="false">
      <c r="A37" s="0" t="s">
        <v>49</v>
      </c>
      <c r="B37" s="1" t="n">
        <f aca="false">(3.994*(ht/100)-(0.0234*age)-2.507)</f>
        <v>2.7134</v>
      </c>
      <c r="C37" s="1" t="n">
        <f aca="false">(2.26*(ht/100))-(0.0221*age)-0.0593</f>
        <v>2.4517</v>
      </c>
      <c r="D37" s="1"/>
      <c r="E37" s="1"/>
      <c r="F37" s="1"/>
      <c r="G37" s="1"/>
      <c r="H37" s="1" t="n">
        <f aca="false">(C37/B37)*100</f>
        <v>90.3552738261959</v>
      </c>
      <c r="I37" s="1"/>
      <c r="J37" s="1"/>
      <c r="K37" s="1"/>
      <c r="L37" s="1"/>
      <c r="M37" s="1"/>
      <c r="N37" s="1"/>
      <c r="O37" s="1"/>
      <c r="P37" s="1"/>
    </row>
    <row r="38" customFormat="false" ht="12.85" hidden="false" customHeight="true" outlineLevel="0" collapsed="false">
      <c r="A38" s="0" t="s">
        <v>50</v>
      </c>
      <c r="B38" s="1" t="n">
        <f aca="false">(0.0562*ht)-(0.0313*age)-3.7883</f>
        <v>3.6387</v>
      </c>
      <c r="C38" s="1" t="n">
        <f aca="false">(0.0451*ht)-(0.0301*age)-2.7721</f>
        <v>2.9389</v>
      </c>
      <c r="D38" s="1"/>
      <c r="E38" s="1"/>
      <c r="F38" s="1"/>
      <c r="G38" s="1" t="n">
        <f aca="false">(0.0453*ht)-(0.0389*age)-2.0574</f>
        <v>3.2456</v>
      </c>
      <c r="H38" s="1" t="n">
        <f aca="false">86.5881-(0.116*age)</f>
        <v>80.7881</v>
      </c>
      <c r="I38" s="1"/>
      <c r="J38" s="1"/>
    </row>
    <row r="39" customFormat="false" ht="12.85" hidden="false" customHeight="true" outlineLevel="0" collapsed="false">
      <c r="A39" s="0" t="s">
        <v>51</v>
      </c>
      <c r="B39" s="1" t="n">
        <f aca="false">-3.44-(0.013*age)-(0.00005*age^2)+(0.048*ht)</f>
        <v>3.465</v>
      </c>
      <c r="C39" s="1" t="n">
        <f aca="false">-1.9-(0.025*age)+(0.00006*age^2)+(0.036*ht)</f>
        <v>2.76</v>
      </c>
      <c r="D39" s="1"/>
      <c r="E39" s="1"/>
      <c r="F39" s="4"/>
      <c r="G39" s="1"/>
      <c r="H39" s="1" t="n">
        <f aca="false">103-(0.35*age)+(0.002*age^2)-(0.07*ht)</f>
        <v>79.3</v>
      </c>
      <c r="I39" s="1"/>
      <c r="J39" s="1"/>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drawing r:id="rId1"/>
</worksheet>
</file>

<file path=xl/worksheets/sheet4.xml><?xml version="1.0" encoding="utf-8"?>
<worksheet xmlns="http://schemas.openxmlformats.org/spreadsheetml/2006/main" xmlns:r="http://schemas.openxmlformats.org/officeDocument/2006/relationships">
  <sheetPr filterMode="false">
    <pageSetUpPr fitToPage="false"/>
  </sheetPr>
  <dimension ref="A1:G65536"/>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B39" activeCellId="0" sqref="B39"/>
    </sheetView>
  </sheetViews>
  <sheetFormatPr defaultRowHeight="12.85"/>
  <cols>
    <col collapsed="false" hidden="false" max="1" min="1" style="0" width="11.5204081632653"/>
    <col collapsed="false" hidden="false" max="2" min="2" style="0" width="18.2397959183673"/>
    <col collapsed="false" hidden="false" max="3" min="3" style="0" width="8.92857142857143"/>
    <col collapsed="false" hidden="false" max="4" min="4" style="0" width="11.5204081632653"/>
    <col collapsed="false" hidden="false" max="5" min="5" style="0" width="7.14795918367347"/>
    <col collapsed="false" hidden="false" max="6" min="6" style="0" width="10.530612244898"/>
    <col collapsed="false" hidden="false" max="1025" min="7" style="0" width="11.5204081632653"/>
  </cols>
  <sheetData>
    <row r="1" customFormat="false" ht="12.85" hidden="false" customHeight="true" outlineLevel="0" collapsed="false">
      <c r="A1" s="0" t="s">
        <v>65</v>
      </c>
    </row>
    <row r="2" customFormat="false" ht="12.85" hidden="false" customHeight="true" outlineLevel="0" collapsed="false">
      <c r="B2" s="0" t="s">
        <v>66</v>
      </c>
      <c r="C2" s="0" t="s">
        <v>67</v>
      </c>
      <c r="D2" s="0" t="s">
        <v>68</v>
      </c>
      <c r="E2" s="0" t="s">
        <v>69</v>
      </c>
      <c r="F2" s="0" t="s">
        <v>70</v>
      </c>
    </row>
    <row r="3" customFormat="false" ht="13.9" hidden="false" customHeight="true" outlineLevel="0" collapsed="false">
      <c r="A3" s="0" t="s">
        <v>71</v>
      </c>
      <c r="B3" s="0" t="s">
        <v>72</v>
      </c>
      <c r="C3" s="5" t="n">
        <v>927</v>
      </c>
      <c r="D3" s="5" t="s">
        <v>73</v>
      </c>
      <c r="E3" s="5" t="n">
        <v>476</v>
      </c>
      <c r="F3" s="5" t="s">
        <v>73</v>
      </c>
      <c r="G3" s="6" t="s">
        <v>74</v>
      </c>
    </row>
    <row r="4" customFormat="false" ht="12.85" hidden="false" customHeight="true" outlineLevel="0" collapsed="false">
      <c r="B4" s="0" t="s">
        <v>75</v>
      </c>
      <c r="C4" s="5" t="n">
        <v>772</v>
      </c>
      <c r="D4" s="5" t="s">
        <v>73</v>
      </c>
      <c r="E4" s="5" t="n">
        <v>422</v>
      </c>
      <c r="F4" s="5" t="s">
        <v>73</v>
      </c>
      <c r="G4" s="6"/>
    </row>
    <row r="5" customFormat="false" ht="12.85" hidden="false" customHeight="true" outlineLevel="0" collapsed="false">
      <c r="B5" s="0" t="s">
        <v>76</v>
      </c>
      <c r="C5" s="5" t="n">
        <v>872</v>
      </c>
      <c r="D5" s="5" t="s">
        <v>73</v>
      </c>
      <c r="E5" s="5" t="n">
        <v>506</v>
      </c>
      <c r="F5" s="5" t="s">
        <v>73</v>
      </c>
      <c r="G5" s="6"/>
    </row>
    <row r="6" customFormat="false" ht="13.9" hidden="false" customHeight="true" outlineLevel="0" collapsed="false">
      <c r="A6" s="0" t="s">
        <v>77</v>
      </c>
      <c r="B6" s="0" t="s">
        <v>72</v>
      </c>
      <c r="C6" s="5" t="n">
        <v>327</v>
      </c>
      <c r="D6" s="5" t="s">
        <v>78</v>
      </c>
      <c r="E6" s="5" t="n">
        <v>300</v>
      </c>
      <c r="F6" s="5" t="s">
        <v>78</v>
      </c>
      <c r="G6" s="6" t="s">
        <v>79</v>
      </c>
    </row>
    <row r="7" customFormat="false" ht="13.9" hidden="false" customHeight="true" outlineLevel="0" collapsed="false">
      <c r="A7" s="0" t="s">
        <v>80</v>
      </c>
      <c r="B7" s="0" t="s">
        <v>72</v>
      </c>
      <c r="C7" s="5" t="n">
        <v>471</v>
      </c>
      <c r="D7" s="5" t="s">
        <v>81</v>
      </c>
      <c r="E7" s="5" t="n">
        <v>517</v>
      </c>
      <c r="F7" s="5" t="s">
        <v>81</v>
      </c>
      <c r="G7" s="6" t="s">
        <v>82</v>
      </c>
    </row>
    <row r="8" customFormat="false" ht="13.9" hidden="false" customHeight="true" outlineLevel="0" collapsed="false">
      <c r="A8" s="0" t="s">
        <v>83</v>
      </c>
      <c r="B8" s="0" t="s">
        <v>72</v>
      </c>
      <c r="C8" s="5" t="n">
        <v>97</v>
      </c>
      <c r="D8" s="5" t="s">
        <v>84</v>
      </c>
      <c r="E8" s="5" t="n">
        <v>102</v>
      </c>
      <c r="F8" s="5" t="s">
        <v>84</v>
      </c>
      <c r="G8" s="6" t="s">
        <v>85</v>
      </c>
    </row>
    <row r="9" customFormat="false" ht="13.9" hidden="false" customHeight="true" outlineLevel="0" collapsed="false">
      <c r="A9" s="0" t="s">
        <v>86</v>
      </c>
      <c r="B9" s="0" t="s">
        <v>72</v>
      </c>
      <c r="C9" s="5" t="n">
        <v>176</v>
      </c>
      <c r="D9" s="5" t="s">
        <v>87</v>
      </c>
      <c r="E9" s="5" t="n">
        <v>86</v>
      </c>
      <c r="F9" s="5" t="s">
        <v>88</v>
      </c>
      <c r="G9" s="6" t="s">
        <v>89</v>
      </c>
    </row>
    <row r="10" customFormat="false" ht="13.9" hidden="false" customHeight="true" outlineLevel="0" collapsed="false">
      <c r="A10" s="0" t="s">
        <v>90</v>
      </c>
      <c r="B10" s="0" t="s">
        <v>72</v>
      </c>
      <c r="C10" s="5" t="n">
        <v>1129</v>
      </c>
      <c r="D10" s="5" t="s">
        <v>91</v>
      </c>
      <c r="E10" s="5" t="n">
        <v>1106</v>
      </c>
      <c r="F10" s="5" t="s">
        <v>91</v>
      </c>
      <c r="G10" s="6" t="s">
        <v>92</v>
      </c>
    </row>
    <row r="11" customFormat="false" ht="13.9" hidden="false" customHeight="true" outlineLevel="0" collapsed="false">
      <c r="A11" s="0" t="s">
        <v>93</v>
      </c>
      <c r="B11" s="0" t="s">
        <v>94</v>
      </c>
      <c r="C11" s="5" t="s">
        <v>95</v>
      </c>
      <c r="D11" s="5" t="s">
        <v>27</v>
      </c>
      <c r="E11" s="5" t="n">
        <v>6349</v>
      </c>
      <c r="F11" s="5" t="s">
        <v>96</v>
      </c>
      <c r="G11" s="6" t="s">
        <v>97</v>
      </c>
    </row>
    <row r="12" customFormat="false" ht="13.9" hidden="false" customHeight="true" outlineLevel="0" collapsed="false">
      <c r="A12" s="0" t="s">
        <v>98</v>
      </c>
      <c r="B12" s="0" t="s">
        <v>99</v>
      </c>
      <c r="C12" s="5" t="n">
        <v>253</v>
      </c>
      <c r="D12" s="5" t="s">
        <v>100</v>
      </c>
      <c r="E12" s="5" t="n">
        <v>190</v>
      </c>
      <c r="F12" s="5" t="s">
        <v>100</v>
      </c>
      <c r="G12" s="6" t="s">
        <v>101</v>
      </c>
    </row>
    <row r="13" customFormat="false" ht="13.9" hidden="false" customHeight="true" outlineLevel="0" collapsed="false">
      <c r="A13" s="0" t="s">
        <v>102</v>
      </c>
      <c r="B13" s="0" t="s">
        <v>72</v>
      </c>
      <c r="C13" s="5" t="n">
        <v>1365</v>
      </c>
      <c r="D13" s="5" t="s">
        <v>103</v>
      </c>
      <c r="E13" s="5" t="n">
        <v>896</v>
      </c>
      <c r="F13" s="5" t="s">
        <v>104</v>
      </c>
      <c r="G13" s="6" t="s">
        <v>105</v>
      </c>
    </row>
    <row r="14" customFormat="false" ht="12.85" hidden="false" customHeight="true" outlineLevel="0" collapsed="false">
      <c r="B14" s="0" t="s">
        <v>75</v>
      </c>
      <c r="C14" s="5" t="n">
        <v>1474</v>
      </c>
      <c r="D14" s="5" t="s">
        <v>103</v>
      </c>
      <c r="E14" s="5" t="n">
        <v>414</v>
      </c>
      <c r="F14" s="5" t="s">
        <v>104</v>
      </c>
      <c r="G14" s="6"/>
    </row>
    <row r="15" customFormat="false" ht="12.85" hidden="false" customHeight="true" outlineLevel="0" collapsed="false">
      <c r="B15" s="0" t="s">
        <v>76</v>
      </c>
      <c r="C15" s="5" t="n">
        <v>1505</v>
      </c>
      <c r="D15" s="5" t="s">
        <v>103</v>
      </c>
      <c r="E15" s="5" t="n">
        <v>482</v>
      </c>
      <c r="F15" s="5" t="s">
        <v>104</v>
      </c>
      <c r="G15" s="6"/>
    </row>
    <row r="16" customFormat="false" ht="13.9" hidden="false" customHeight="true" outlineLevel="0" collapsed="false">
      <c r="A16" s="0" t="s">
        <v>106</v>
      </c>
      <c r="B16" s="0" t="s">
        <v>107</v>
      </c>
      <c r="C16" s="5" t="n">
        <v>137</v>
      </c>
      <c r="D16" s="5" t="s">
        <v>103</v>
      </c>
      <c r="E16" s="5" t="n">
        <v>226</v>
      </c>
      <c r="F16" s="5" t="s">
        <v>108</v>
      </c>
      <c r="G16" s="6" t="s">
        <v>109</v>
      </c>
    </row>
    <row r="17" customFormat="false" ht="13.9" hidden="false" customHeight="true" outlineLevel="0" collapsed="false">
      <c r="A17" s="0" t="s">
        <v>110</v>
      </c>
      <c r="B17" s="0" t="s">
        <v>111</v>
      </c>
      <c r="C17" s="5" t="s">
        <v>112</v>
      </c>
      <c r="D17" s="5" t="s">
        <v>104</v>
      </c>
      <c r="E17" s="5" t="s">
        <v>113</v>
      </c>
      <c r="F17" s="5" t="s">
        <v>104</v>
      </c>
      <c r="G17" s="6" t="s">
        <v>114</v>
      </c>
    </row>
    <row r="18" customFormat="false" ht="13.9" hidden="false" customHeight="true" outlineLevel="0" collapsed="false">
      <c r="A18" s="0" t="s">
        <v>115</v>
      </c>
      <c r="B18" s="0" t="s">
        <v>116</v>
      </c>
      <c r="C18" s="5" t="s">
        <v>117</v>
      </c>
      <c r="D18" s="5" t="s">
        <v>87</v>
      </c>
      <c r="E18" s="5" t="s">
        <v>118</v>
      </c>
      <c r="F18" s="5" t="s">
        <v>87</v>
      </c>
      <c r="G18" s="6" t="s">
        <v>119</v>
      </c>
    </row>
    <row r="19" customFormat="false" ht="13.4" hidden="false" customHeight="true" outlineLevel="0" collapsed="false">
      <c r="A19" s="0" t="s">
        <v>120</v>
      </c>
      <c r="B19" s="0" t="s">
        <v>72</v>
      </c>
      <c r="C19" s="5" t="s">
        <v>121</v>
      </c>
      <c r="D19" s="5" t="s">
        <v>122</v>
      </c>
      <c r="E19" s="5" t="s">
        <v>123</v>
      </c>
      <c r="F19" s="5" t="s">
        <v>122</v>
      </c>
      <c r="G19" s="0" t="s">
        <v>124</v>
      </c>
    </row>
    <row r="20" customFormat="false" ht="13.4" hidden="false" customHeight="true" outlineLevel="0" collapsed="false">
      <c r="A20" s="0" t="s">
        <v>125</v>
      </c>
      <c r="B20" s="0" t="s">
        <v>75</v>
      </c>
      <c r="C20" s="5" t="s">
        <v>126</v>
      </c>
      <c r="D20" s="5" t="s">
        <v>127</v>
      </c>
      <c r="E20" s="5" t="s">
        <v>128</v>
      </c>
      <c r="F20" s="5" t="s">
        <v>129</v>
      </c>
      <c r="G20" s="0" t="s">
        <v>130</v>
      </c>
    </row>
    <row r="21" customFormat="false" ht="13.4" hidden="false" customHeight="true" outlineLevel="0" collapsed="false">
      <c r="A21" s="0" t="s">
        <v>131</v>
      </c>
      <c r="B21" s="0" t="s">
        <v>132</v>
      </c>
      <c r="C21" s="5" t="s">
        <v>133</v>
      </c>
      <c r="D21" s="5" t="s">
        <v>134</v>
      </c>
      <c r="E21" s="5" t="s">
        <v>135</v>
      </c>
      <c r="F21" s="5" t="s">
        <v>136</v>
      </c>
      <c r="G21" s="0" t="s">
        <v>137</v>
      </c>
    </row>
    <row r="22" customFormat="false" ht="13.4" hidden="false" customHeight="true" outlineLevel="0" collapsed="false">
      <c r="B22" s="0" t="s">
        <v>138</v>
      </c>
      <c r="C22" s="5" t="s">
        <v>139</v>
      </c>
      <c r="D22" s="5" t="s">
        <v>87</v>
      </c>
      <c r="E22" s="5" t="s">
        <v>140</v>
      </c>
      <c r="F22" s="5" t="s">
        <v>141</v>
      </c>
    </row>
    <row r="23" customFormat="false" ht="13.4" hidden="false" customHeight="true" outlineLevel="0" collapsed="false">
      <c r="A23" s="0" t="s">
        <v>142</v>
      </c>
      <c r="B23" s="0" t="s">
        <v>75</v>
      </c>
      <c r="C23" s="5" t="s">
        <v>143</v>
      </c>
      <c r="D23" s="5" t="s">
        <v>144</v>
      </c>
      <c r="E23" s="5" t="s">
        <v>145</v>
      </c>
      <c r="F23" s="5" t="s">
        <v>144</v>
      </c>
      <c r="G23" s="0" t="s">
        <v>146</v>
      </c>
    </row>
    <row r="24" customFormat="false" ht="13.4" hidden="false" customHeight="true" outlineLevel="0" collapsed="false">
      <c r="A24" s="0" t="s">
        <v>147</v>
      </c>
      <c r="B24" s="0" t="s">
        <v>72</v>
      </c>
      <c r="C24" s="5" t="s">
        <v>148</v>
      </c>
      <c r="D24" s="5" t="s">
        <v>149</v>
      </c>
      <c r="E24" s="5" t="s">
        <v>150</v>
      </c>
      <c r="F24" s="5" t="s">
        <v>149</v>
      </c>
      <c r="G24" s="0" t="s">
        <v>151</v>
      </c>
    </row>
    <row r="25" customFormat="false" ht="13.4" hidden="false" customHeight="true" outlineLevel="0" collapsed="false">
      <c r="A25" s="0" t="s">
        <v>152</v>
      </c>
      <c r="B25" s="0" t="s">
        <v>111</v>
      </c>
      <c r="C25" s="5" t="s">
        <v>95</v>
      </c>
      <c r="D25" s="5"/>
      <c r="E25" s="5" t="s">
        <v>153</v>
      </c>
      <c r="F25" s="5" t="s">
        <v>104</v>
      </c>
      <c r="G25" s="0" t="s">
        <v>154</v>
      </c>
    </row>
    <row r="26" customFormat="false" ht="13.4" hidden="false" customHeight="true" outlineLevel="0" collapsed="false">
      <c r="A26" s="0" t="s">
        <v>155</v>
      </c>
      <c r="B26" s="0" t="s">
        <v>72</v>
      </c>
      <c r="C26" s="5" t="n">
        <v>965</v>
      </c>
      <c r="D26" s="5" t="s">
        <v>104</v>
      </c>
      <c r="E26" s="5" t="n">
        <v>482</v>
      </c>
      <c r="F26" s="5" t="s">
        <v>103</v>
      </c>
      <c r="G26" s="0" t="s">
        <v>156</v>
      </c>
    </row>
    <row r="27" customFormat="false" ht="12.85" hidden="false" customHeight="true" outlineLevel="0" collapsed="false">
      <c r="B27" s="0" t="s">
        <v>75</v>
      </c>
      <c r="C27" s="5" t="n">
        <v>891</v>
      </c>
      <c r="D27" s="5" t="s">
        <v>104</v>
      </c>
      <c r="E27" s="5" t="n">
        <v>438</v>
      </c>
      <c r="F27" s="5" t="s">
        <v>103</v>
      </c>
    </row>
    <row r="28" customFormat="false" ht="12.85" hidden="false" customHeight="true" outlineLevel="0" collapsed="false">
      <c r="B28" s="0" t="s">
        <v>76</v>
      </c>
      <c r="C28" s="5" t="n">
        <v>943</v>
      </c>
      <c r="D28" s="5" t="s">
        <v>104</v>
      </c>
      <c r="E28" s="5" t="n">
        <v>536</v>
      </c>
      <c r="F28" s="5" t="s">
        <v>103</v>
      </c>
    </row>
    <row r="29" customFormat="false" ht="13.4" hidden="false" customHeight="true" outlineLevel="0" collapsed="false">
      <c r="A29" s="0" t="s">
        <v>157</v>
      </c>
      <c r="B29" s="0" t="s">
        <v>72</v>
      </c>
      <c r="C29" s="5" t="n">
        <v>270</v>
      </c>
      <c r="D29" s="5" t="s">
        <v>158</v>
      </c>
      <c r="E29" s="5" t="n">
        <v>373</v>
      </c>
      <c r="F29" s="5" t="s">
        <v>159</v>
      </c>
      <c r="G29" s="0" t="s">
        <v>160</v>
      </c>
    </row>
    <row r="30" customFormat="false" ht="13.4" hidden="false" customHeight="true" outlineLevel="0" collapsed="false">
      <c r="A30" s="0" t="s">
        <v>161</v>
      </c>
      <c r="B30" s="0" t="s">
        <v>162</v>
      </c>
      <c r="C30" s="5" t="n">
        <v>255</v>
      </c>
      <c r="D30" s="5" t="s">
        <v>163</v>
      </c>
      <c r="E30" s="5" t="n">
        <v>295</v>
      </c>
      <c r="F30" s="5" t="s">
        <v>163</v>
      </c>
      <c r="G30" s="0" t="s">
        <v>164</v>
      </c>
    </row>
    <row r="31" customFormat="false" ht="13.4" hidden="false" customHeight="true" outlineLevel="0" collapsed="false">
      <c r="A31" s="0" t="s">
        <v>165</v>
      </c>
      <c r="B31" s="0" t="s">
        <v>166</v>
      </c>
      <c r="C31" s="5" t="n">
        <v>292</v>
      </c>
      <c r="D31" s="5" t="s">
        <v>167</v>
      </c>
      <c r="E31" s="5" t="n">
        <v>175</v>
      </c>
      <c r="F31" s="5" t="s">
        <v>167</v>
      </c>
      <c r="G31" s="0" t="s">
        <v>168</v>
      </c>
    </row>
    <row r="32" customFormat="false" ht="15.4" hidden="false" customHeight="true" outlineLevel="0" collapsed="false">
      <c r="A32" s="7" t="s">
        <v>169</v>
      </c>
      <c r="B32" s="7" t="s">
        <v>170</v>
      </c>
      <c r="C32" s="7" t="n">
        <v>153</v>
      </c>
      <c r="D32" s="7" t="s">
        <v>171</v>
      </c>
      <c r="E32" s="7" t="n">
        <v>130</v>
      </c>
      <c r="F32" s="7" t="s">
        <v>172</v>
      </c>
      <c r="G32" s="7" t="s">
        <v>173</v>
      </c>
    </row>
    <row r="33" customFormat="false" ht="15.4" hidden="false" customHeight="true" outlineLevel="0" collapsed="false">
      <c r="A33" s="7" t="s">
        <v>174</v>
      </c>
      <c r="B33" s="7" t="s">
        <v>175</v>
      </c>
      <c r="C33" s="7" t="s">
        <v>176</v>
      </c>
      <c r="D33" s="7" t="s">
        <v>177</v>
      </c>
      <c r="E33" s="7" t="s">
        <v>178</v>
      </c>
      <c r="F33" s="7" t="s">
        <v>177</v>
      </c>
      <c r="G33" s="7" t="s">
        <v>179</v>
      </c>
    </row>
    <row r="34" customFormat="false" ht="15.4" hidden="false" customHeight="true" outlineLevel="0" collapsed="false">
      <c r="A34" s="7" t="s">
        <v>180</v>
      </c>
      <c r="B34" s="7" t="s">
        <v>72</v>
      </c>
      <c r="C34" s="7" t="s">
        <v>181</v>
      </c>
      <c r="D34" s="7" t="s">
        <v>104</v>
      </c>
      <c r="E34" s="7" t="s">
        <v>182</v>
      </c>
      <c r="F34" s="7" t="s">
        <v>104</v>
      </c>
      <c r="G34" s="7" t="s">
        <v>183</v>
      </c>
    </row>
    <row r="35" customFormat="false" ht="15.4" hidden="false" customHeight="true" outlineLevel="0" collapsed="false">
      <c r="A35" s="7" t="s">
        <v>184</v>
      </c>
      <c r="B35" s="7" t="s">
        <v>162</v>
      </c>
      <c r="C35" s="7" t="s">
        <v>185</v>
      </c>
      <c r="D35" s="7" t="s">
        <v>73</v>
      </c>
      <c r="E35" s="7" t="s">
        <v>186</v>
      </c>
      <c r="F35" s="7" t="s">
        <v>73</v>
      </c>
      <c r="G35" s="7" t="s">
        <v>187</v>
      </c>
    </row>
    <row r="36" customFormat="false" ht="16.4" hidden="false" customHeight="true" outlineLevel="0" collapsed="false">
      <c r="A36" s="7" t="s">
        <v>188</v>
      </c>
      <c r="B36" s="7" t="s">
        <v>189</v>
      </c>
      <c r="C36" s="7" t="s">
        <v>190</v>
      </c>
      <c r="D36" s="7" t="s">
        <v>88</v>
      </c>
      <c r="E36" s="7" t="s">
        <v>191</v>
      </c>
      <c r="F36" s="7" t="s">
        <v>88</v>
      </c>
      <c r="G36" s="8" t="s">
        <v>192</v>
      </c>
    </row>
    <row r="37" customFormat="false" ht="14.85" hidden="false" customHeight="true" outlineLevel="0" collapsed="false">
      <c r="A37" s="7" t="s">
        <v>193</v>
      </c>
      <c r="B37" s="7" t="s">
        <v>76</v>
      </c>
      <c r="C37" s="7" t="s">
        <v>145</v>
      </c>
      <c r="D37" s="7" t="s">
        <v>103</v>
      </c>
      <c r="E37" s="7" t="s">
        <v>194</v>
      </c>
      <c r="F37" s="7" t="s">
        <v>195</v>
      </c>
      <c r="G37" s="8" t="s">
        <v>196</v>
      </c>
    </row>
    <row r="38" customFormat="false" ht="14.85" hidden="false" customHeight="true" outlineLevel="0" collapsed="false">
      <c r="A38" s="7" t="s">
        <v>197</v>
      </c>
      <c r="B38" s="7" t="s">
        <v>198</v>
      </c>
      <c r="C38" s="7" t="s">
        <v>199</v>
      </c>
      <c r="D38" s="7" t="s">
        <v>200</v>
      </c>
      <c r="E38" s="7" t="s">
        <v>201</v>
      </c>
      <c r="F38" s="7" t="s">
        <v>200</v>
      </c>
      <c r="G38" s="8" t="s">
        <v>202</v>
      </c>
    </row>
    <row r="1048576" customFormat="false" ht="12.8" hidden="false" customHeight="true" outlineLevel="0" collapsed="false"/>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H19"/>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C20" activeCellId="0" sqref="C20"/>
    </sheetView>
  </sheetViews>
  <sheetFormatPr defaultRowHeight="12.85"/>
  <cols>
    <col collapsed="false" hidden="false" max="1" min="1" style="0" width="15.0357142857143"/>
    <col collapsed="false" hidden="false" max="2" min="2" style="0" width="7.33673469387755"/>
    <col collapsed="false" hidden="false" max="3" min="3" style="0" width="7.14795918367347"/>
    <col collapsed="false" hidden="false" max="4" min="4" style="0" width="7.4234693877551"/>
    <col collapsed="false" hidden="false" max="5" min="5" style="0" width="7.89285714285714"/>
    <col collapsed="false" hidden="false" max="6" min="6" style="0" width="6.66836734693878"/>
    <col collapsed="false" hidden="false" max="7" min="7" style="0" width="6.76530612244898"/>
    <col collapsed="false" hidden="false" max="8" min="8" style="0" width="7.70408163265306"/>
    <col collapsed="false" hidden="false" max="1025" min="9" style="0" width="11.5204081632653"/>
  </cols>
  <sheetData>
    <row r="1" customFormat="false" ht="12.85" hidden="false" customHeight="true" outlineLevel="0" collapsed="false">
      <c r="A1" s="0" t="s">
        <v>203</v>
      </c>
    </row>
    <row r="3" customFormat="false" ht="12.85" hidden="false" customHeight="true" outlineLevel="0" collapsed="false">
      <c r="A3" s="3" t="s">
        <v>7</v>
      </c>
      <c r="B3" s="3" t="s">
        <v>204</v>
      </c>
      <c r="C3" s="3" t="s">
        <v>205</v>
      </c>
      <c r="D3" s="3" t="s">
        <v>206</v>
      </c>
      <c r="E3" s="3" t="s">
        <v>207</v>
      </c>
      <c r="F3" s="3" t="s">
        <v>208</v>
      </c>
      <c r="G3" s="3" t="s">
        <v>209</v>
      </c>
      <c r="H3" s="3" t="s">
        <v>210</v>
      </c>
    </row>
    <row r="4" customFormat="false" ht="12.85" hidden="false" customHeight="true" outlineLevel="0" collapsed="false">
      <c r="A4" s="2" t="s">
        <v>211</v>
      </c>
      <c r="B4" s="1" t="n">
        <f aca="false">0.12*(ht/2.54)</f>
        <v>7.55905511811024</v>
      </c>
      <c r="C4" s="1" t="n">
        <f aca="false">(0.063*(ht/2.54))</f>
        <v>3.96850393700787</v>
      </c>
      <c r="D4" s="1" t="n">
        <f aca="false">(0.0224*ht)+(0.01*age)-2.307</f>
        <v>1.777</v>
      </c>
      <c r="E4" s="1" t="n">
        <f aca="false">B4-D4</f>
        <v>5.78205511811024</v>
      </c>
      <c r="F4" s="1" t="n">
        <f aca="false">B4-C4</f>
        <v>3.59055118110236</v>
      </c>
      <c r="G4" s="1" t="n">
        <f aca="false">C4-C5</f>
        <v>2.21925984251969</v>
      </c>
      <c r="H4" s="1" t="n">
        <f aca="false">(D4/B4)*100</f>
        <v>23.5082291666667</v>
      </c>
    </row>
    <row r="5" customFormat="false" ht="12.85" hidden="false" customHeight="true" outlineLevel="0" collapsed="false">
      <c r="A5" s="2" t="s">
        <v>212</v>
      </c>
      <c r="B5" s="1" t="n">
        <f aca="false">(0.128*(ht/2.54))-4.157</f>
        <v>3.90599212598425</v>
      </c>
      <c r="C5" s="1" t="n">
        <f aca="false">(0.096*(ht/2.54))+(0.006*age)-(0.01*(wt*2.2))-2.948</f>
        <v>1.74924409448819</v>
      </c>
      <c r="D5" s="1" t="n">
        <f aca="false">(0.02*ht)+(0.009*age)-(0.016*wt)-1.336</f>
        <v>1.114</v>
      </c>
      <c r="E5" s="1" t="n">
        <f aca="false">(0.082*(ht/2.54))-(0.01*age)-1.993</f>
        <v>2.67235433070866</v>
      </c>
      <c r="F5" s="1" t="n">
        <f aca="false">B5-C5</f>
        <v>2.15674803149606</v>
      </c>
      <c r="G5" s="1" t="n">
        <f aca="false">C5-D5</f>
        <v>0.635244094488188</v>
      </c>
      <c r="H5" s="1" t="n">
        <f aca="false">(0.292*age)+(0.743*(ht/2.54))-(0.142*(wt*2.2))-13.318</f>
        <v>24.6551496062992</v>
      </c>
    </row>
    <row r="6" customFormat="false" ht="12.85" hidden="false" customHeight="true" outlineLevel="0" collapsed="false">
      <c r="A6" s="2" t="s">
        <v>59</v>
      </c>
      <c r="B6" s="1" t="n">
        <f aca="false">(0.072*ht)-(0.009*age)-6.125</f>
        <v>4.945</v>
      </c>
      <c r="C6" s="1" t="n">
        <f aca="false">(0.052*ht)-(0.018*wt)+(0.004*age)-4.858</f>
        <v>2.312</v>
      </c>
      <c r="D6" s="9" t="n">
        <f aca="false">(0.023*ht)+(0.014*age)-2.79</f>
        <v>1.59</v>
      </c>
      <c r="E6" s="1" t="n">
        <f aca="false">(0.049*ht)-(0.023*age)-3.409</f>
        <v>3.281</v>
      </c>
      <c r="F6" s="1" t="n">
        <f aca="false">(0.02*ht)+(0.018*wt)-(0.013*age)-1.28</f>
        <v>2.62</v>
      </c>
      <c r="G6" s="1" t="n">
        <f aca="false">(0.029*ht)-(0.018*wt)-(0.009*age)-2.114</f>
        <v>0.726</v>
      </c>
      <c r="H6" s="1" t="n">
        <f aca="false">(D6/B6)*100</f>
        <v>32.1536905965622</v>
      </c>
    </row>
    <row r="7" customFormat="false" ht="12.85" hidden="false" customHeight="true" outlineLevel="0" collapsed="false">
      <c r="A7" s="2" t="s">
        <v>60</v>
      </c>
      <c r="B7" s="1" t="n">
        <f aca="false">(0.059*ht)-4.537</f>
        <v>4.903</v>
      </c>
      <c r="C7" s="1" t="n">
        <f aca="false">(0.036*ht)+(0.0031*age)-3.182</f>
        <v>2.733</v>
      </c>
      <c r="D7" s="1" t="n">
        <f aca="false">(0.0197*ht)+(0.0201*age)-2.421</f>
        <v>1.736</v>
      </c>
      <c r="E7" s="1" t="n">
        <f aca="false">B7-D7</f>
        <v>3.167</v>
      </c>
      <c r="F7" s="1" t="n">
        <f aca="false">B7-C7</f>
        <v>2.17</v>
      </c>
      <c r="G7" s="1" t="n">
        <f aca="false">C7-D7</f>
        <v>0.997000000000001</v>
      </c>
      <c r="H7" s="1" t="n">
        <f aca="false">(0.416*age)+14.35</f>
        <v>35.15</v>
      </c>
    </row>
    <row r="8" customFormat="false" ht="12.85" hidden="false" customHeight="true" outlineLevel="0" collapsed="false">
      <c r="A8" s="2" t="s">
        <v>213</v>
      </c>
      <c r="B8" s="1" t="n">
        <f aca="false">0.00889-(0.0365*age)+(0.05085*ht)-(0.0518*BMI)</f>
        <v>4.802311875</v>
      </c>
      <c r="C8" s="1" t="n">
        <f aca="false">-3.896+(0.05151*ht)-(2.135*BSA)</f>
        <v>0.537992028397281</v>
      </c>
      <c r="D8" s="9" t="n">
        <f aca="false">(0.02266*ht)-2.07</f>
        <v>1.5556</v>
      </c>
      <c r="E8" s="1" t="n">
        <f aca="false">2.773-(0.0339*age)+(0.0000006728*ht^3)-(0.00000123*wt^3)</f>
        <v>3.31488255</v>
      </c>
      <c r="F8" s="1" t="n">
        <f aca="false">1.771-(0.0254*age)+(0.00007121*ht^2)</f>
        <v>2.323976</v>
      </c>
      <c r="G8" s="1" t="n">
        <f aca="false">0.09238-(0.00000059*age^3)+(0.000000368*ht^3)-(0.00000143*wt^3)</f>
        <v>0.92267675</v>
      </c>
      <c r="H8" s="1" t="n">
        <f aca="false">27.091+(0.00002554*age^3)</f>
        <v>30.2835</v>
      </c>
    </row>
    <row r="9" customFormat="false" ht="12.85" hidden="false" customHeight="true" outlineLevel="0" collapsed="false">
      <c r="A9" s="2" t="s">
        <v>214</v>
      </c>
      <c r="B9" s="1" t="n">
        <f aca="false">11.495-(0.208*age)+(0.00001062*age^3)+0.0002588*ht^2-(1.654*BSA)</f>
        <v>6.09799846134384</v>
      </c>
      <c r="C9" s="1" t="n">
        <f aca="false">2.276+(0.000000882*ht^3)-(1.96*BSA)</f>
        <v>2.39316304246308</v>
      </c>
      <c r="D9" s="9" t="n">
        <f aca="false">(0.01678*ht)-1.039</f>
        <v>1.6458</v>
      </c>
      <c r="E9" s="1" t="n">
        <f aca="false">2.773-(0.0339*age)+(0.0000006728*ht^3)-(0.00000123*wt^3)</f>
        <v>3.31488255</v>
      </c>
      <c r="F9" s="1" t="n">
        <f aca="false">1.771-(0.0254*age)+(0.00007121*ht^2)</f>
        <v>2.323976</v>
      </c>
      <c r="G9" s="1" t="n">
        <f aca="false">0.09238-(0.00000059*age^3)+(0.000000368*ht^3)-(0.00000143*wt^3)</f>
        <v>0.92267675</v>
      </c>
      <c r="H9" s="1" t="n">
        <f aca="false">29.404+(0.00002356*age^3)</f>
        <v>32.349</v>
      </c>
    </row>
    <row r="10" customFormat="false" ht="12.85" hidden="false" customHeight="true" outlineLevel="0" collapsed="false">
      <c r="A10" s="2" t="s">
        <v>215</v>
      </c>
      <c r="B10" s="1" t="n">
        <f aca="false">11.495-(0.208*age)+(0.00001062*age^3)+(0.0002588*ht^2)-(1.654*BSA)</f>
        <v>6.09799846134384</v>
      </c>
      <c r="C10" s="1"/>
      <c r="D10" s="9" t="n">
        <f aca="false">(-12.64*age)+(12.821*age^0.997)+(0.003*ht)-0.77</f>
        <v>1.28056836831964</v>
      </c>
      <c r="E10" s="1"/>
      <c r="F10" s="1"/>
      <c r="G10" s="1"/>
      <c r="H10" s="1" t="n">
        <f aca="false">(D10/B10)*100</f>
        <v>20.9998145528793</v>
      </c>
    </row>
    <row r="11" customFormat="false" ht="12.85" hidden="false" customHeight="true" outlineLevel="0" collapsed="false">
      <c r="A11" s="2" t="s">
        <v>216</v>
      </c>
      <c r="B11" s="1" t="n">
        <f aca="false">-5.965+(0.071*ht)-(0.007*age)</f>
        <v>5.045</v>
      </c>
      <c r="C11" s="1" t="n">
        <f aca="false">-3.573+(0.039*ht)</f>
        <v>2.667</v>
      </c>
      <c r="D11" s="9" t="n">
        <f aca="false">(0.02*ht)+(0.015*age)-2.314</f>
        <v>1.636</v>
      </c>
      <c r="E11" s="1" t="n">
        <f aca="false">-3.597+(0.05*ht)-(0.021*age)</f>
        <v>3.353</v>
      </c>
      <c r="F11" s="1" t="n">
        <f aca="false">B11-C11</f>
        <v>2.378</v>
      </c>
      <c r="G11" s="1" t="n">
        <f aca="false">C11-D11</f>
        <v>1.031</v>
      </c>
      <c r="H11" s="1" t="n">
        <f aca="false">(D11/B11)*100</f>
        <v>32.4281466798811</v>
      </c>
    </row>
    <row r="12" customFormat="false" ht="12.85" hidden="false" customHeight="true" outlineLevel="0" collapsed="false">
      <c r="A12" s="2" t="s">
        <v>217</v>
      </c>
      <c r="B12" s="1" t="n">
        <f aca="false">(-0.0094*age)+(0.0629*ht)-4.48</f>
        <v>5.114</v>
      </c>
      <c r="C12" s="1" t="n">
        <f aca="false">(0.0091*age)+(0.013*ht)+0.21</f>
        <v>2.745</v>
      </c>
      <c r="D12" s="9" t="n">
        <f aca="false">(0.0259*ht)+(0.0091*age)-3.15</f>
        <v>1.449</v>
      </c>
      <c r="E12" s="1" t="n">
        <f aca="false">B12-D12</f>
        <v>3.665</v>
      </c>
      <c r="F12" s="1" t="n">
        <f aca="false">(-0.012*age)+(0.0171*ht)+(0.019*wt)-1</f>
        <v>2.561</v>
      </c>
      <c r="G12" s="1" t="n">
        <f aca="false">C12-D12</f>
        <v>1.296</v>
      </c>
      <c r="H12" s="1" t="n">
        <f aca="false">((0.0023*age)+(0.0015*ht)-(0.0016*wt)+0.07)*100</f>
        <v>30.5</v>
      </c>
    </row>
    <row r="13" customFormat="false" ht="12.85" hidden="false" customHeight="true" outlineLevel="0" collapsed="false">
      <c r="A13" s="2" t="s">
        <v>218</v>
      </c>
      <c r="B13" s="1"/>
      <c r="C13" s="1"/>
      <c r="D13" s="9" t="n">
        <f aca="false">(0.01131*ht)+(0.01651*age)-0.562</f>
        <v>2.0731</v>
      </c>
      <c r="E13" s="1"/>
      <c r="F13" s="1"/>
      <c r="G13" s="1"/>
      <c r="H13" s="1"/>
    </row>
    <row r="14" customFormat="false" ht="12.85" hidden="false" customHeight="true" outlineLevel="0" collapsed="false">
      <c r="A14" s="2" t="s">
        <v>219</v>
      </c>
      <c r="B14" s="1" t="n">
        <f aca="false">(6.6*ht*0.01)-5.79</f>
        <v>4.77</v>
      </c>
      <c r="C14" s="1" t="n">
        <f aca="false">(2.24*ht*0.01)+(0.001*age)-1</f>
        <v>2.634</v>
      </c>
      <c r="D14" s="9" t="n">
        <f aca="false">(0.0181*ht)+(0.016*age)-2</f>
        <v>1.696</v>
      </c>
      <c r="E14" s="1" t="n">
        <f aca="false">B14-D14</f>
        <v>3.074</v>
      </c>
      <c r="F14" s="1" t="n">
        <f aca="false">B14-C14</f>
        <v>2.136</v>
      </c>
      <c r="G14" s="1" t="n">
        <f aca="false">C14-D14</f>
        <v>0.938</v>
      </c>
      <c r="H14" s="1" t="n">
        <f aca="false">19+(0.34*age)</f>
        <v>36</v>
      </c>
    </row>
    <row r="15" customFormat="false" ht="12.85" hidden="false" customHeight="true" outlineLevel="0" collapsed="false">
      <c r="A15" s="2" t="s">
        <v>220</v>
      </c>
      <c r="B15" s="1"/>
      <c r="C15" s="1"/>
      <c r="D15" s="1" t="n">
        <f aca="false">(0.014*ht)+(0.007*age)-1.167</f>
        <v>1.423</v>
      </c>
      <c r="E15" s="1"/>
      <c r="F15" s="1"/>
      <c r="G15" s="1"/>
      <c r="H15" s="1"/>
    </row>
    <row r="16" customFormat="false" ht="12.85" hidden="false" customHeight="true" outlineLevel="0" collapsed="false">
      <c r="A16" s="6" t="s">
        <v>221</v>
      </c>
      <c r="B16" s="1" t="n">
        <f aca="false">3.536+(ht*0.003)-(0.01*age)</f>
        <v>3.516</v>
      </c>
      <c r="C16" s="1"/>
      <c r="D16" s="1"/>
      <c r="E16" s="1"/>
      <c r="F16" s="1"/>
      <c r="G16" s="1"/>
      <c r="H16" s="1"/>
    </row>
    <row r="17" customFormat="false" ht="12.85" hidden="false" customHeight="true" outlineLevel="0" collapsed="false">
      <c r="A17" s="0" t="s">
        <v>222</v>
      </c>
      <c r="B17" s="1" t="n">
        <f aca="false">-9.67+(9.45*(ht/100))</f>
        <v>5.45</v>
      </c>
      <c r="C17" s="1" t="n">
        <f aca="false">-7.02+(6.3*(ht/100))</f>
        <v>3.06</v>
      </c>
      <c r="D17" s="1" t="n">
        <f aca="false">-3.76+(0.024*age)+(2.75*(ht/100))</f>
        <v>1.84</v>
      </c>
      <c r="E17" s="1" t="n">
        <f aca="false">-5.49-(0.025*age)+(6.44*(ht/100))</f>
        <v>3.564</v>
      </c>
      <c r="F17" s="1" t="n">
        <f aca="false">-1.37-(0.014*age)+(2.83*(ht/100))</f>
        <v>2.458</v>
      </c>
      <c r="G17" s="1" t="n">
        <f aca="false">-4.59-(0.012*age)+(3.95*(ht/100))</f>
        <v>1.13</v>
      </c>
      <c r="H17" s="1" t="n">
        <f aca="false">14.5+(0.39*age)</f>
        <v>34</v>
      </c>
    </row>
    <row r="18" customFormat="false" ht="12.85" hidden="false" customHeight="true" outlineLevel="0" collapsed="false">
      <c r="A18" s="0" t="s">
        <v>223</v>
      </c>
      <c r="B18" s="1" t="n">
        <f aca="false">(7.107*(ht/100))-6.435</f>
        <v>4.9362</v>
      </c>
      <c r="C18" s="1" t="n">
        <f aca="false">(5.867*(ht/100))+(0.009*age)-(0.022*wt)-5.972</f>
        <v>2.2152</v>
      </c>
      <c r="D18" s="1" t="n">
        <f aca="false">(2.548*(ht/100))+(0.017*age)-3.387</f>
        <v>1.5398</v>
      </c>
      <c r="E18" s="1" t="n">
        <f aca="false">B18-D18</f>
        <v>3.3964</v>
      </c>
      <c r="F18" s="1"/>
      <c r="G18" s="1"/>
      <c r="H18" s="1" t="n">
        <f aca="false">(0.346*age)+14.265</f>
        <v>31.565</v>
      </c>
    </row>
    <row r="19" customFormat="false" ht="12.85" hidden="false" customHeight="true" outlineLevel="0" collapsed="false">
      <c r="A19" s="0" t="s">
        <v>224</v>
      </c>
      <c r="B19" s="1" t="n">
        <f aca="false">AVERAGE(B4:B18)</f>
        <v>5.16481200321401</v>
      </c>
      <c r="C19" s="1" t="n">
        <f aca="false">AVERAGE(C4:C18)</f>
        <v>2.45591846385058</v>
      </c>
      <c r="D19" s="1" t="n">
        <f aca="false">AVERAGE(D4:D18)</f>
        <v>1.59684774059426</v>
      </c>
      <c r="E19" s="1" t="n">
        <f aca="false">AVERAGE(E4:E18)</f>
        <v>3.50768859534717</v>
      </c>
      <c r="F19" s="1" t="n">
        <f aca="false">AVERAGE(F4:F18)</f>
        <v>2.47182512125984</v>
      </c>
      <c r="G19" s="1" t="n">
        <f aca="false">AVERAGE(G4:G18)</f>
        <v>1.08178574370079</v>
      </c>
      <c r="H19" s="1" t="n">
        <f aca="false">AVERAGE(H4:H18)</f>
        <v>30.2993775501907</v>
      </c>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6.xml><?xml version="1.0" encoding="utf-8"?>
<worksheet xmlns="http://schemas.openxmlformats.org/spreadsheetml/2006/main" xmlns:r="http://schemas.openxmlformats.org/officeDocument/2006/relationships">
  <sheetPr filterMode="false">
    <pageSetUpPr fitToPage="false"/>
  </sheetPr>
  <dimension ref="A1:H19"/>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N26" activeCellId="0" sqref="N26"/>
    </sheetView>
  </sheetViews>
  <sheetFormatPr defaultRowHeight="12.85"/>
  <cols>
    <col collapsed="false" hidden="false" max="1" min="1" style="0" width="14.8469387755102"/>
    <col collapsed="false" hidden="false" max="2" min="2" style="0" width="8.17857142857143"/>
    <col collapsed="false" hidden="false" max="3" min="3" style="0" width="7.70408163265306"/>
    <col collapsed="false" hidden="false" max="4" min="4" style="0" width="6.5765306122449"/>
    <col collapsed="false" hidden="false" max="5" min="5" style="0" width="6.95408163265306"/>
    <col collapsed="false" hidden="false" max="6" min="6" style="0" width="6.5765306122449"/>
    <col collapsed="false" hidden="false" max="7" min="7" style="0" width="6.11224489795918"/>
    <col collapsed="false" hidden="false" max="8" min="8" style="0" width="7.89285714285714"/>
    <col collapsed="false" hidden="false" max="1025" min="9" style="0" width="11.5204081632653"/>
  </cols>
  <sheetData>
    <row r="1" customFormat="false" ht="12.85" hidden="false" customHeight="true" outlineLevel="0" collapsed="false">
      <c r="A1" s="0" t="s">
        <v>225</v>
      </c>
    </row>
    <row r="3" customFormat="false" ht="12.85" hidden="false" customHeight="true" outlineLevel="0" collapsed="false">
      <c r="A3" s="3" t="s">
        <v>54</v>
      </c>
      <c r="B3" s="3" t="s">
        <v>204</v>
      </c>
      <c r="C3" s="3" t="s">
        <v>205</v>
      </c>
      <c r="D3" s="3" t="s">
        <v>206</v>
      </c>
      <c r="E3" s="3" t="s">
        <v>207</v>
      </c>
      <c r="F3" s="3" t="s">
        <v>208</v>
      </c>
      <c r="G3" s="3" t="s">
        <v>209</v>
      </c>
      <c r="H3" s="3" t="s">
        <v>210</v>
      </c>
    </row>
    <row r="4" customFormat="false" ht="12.85" hidden="false" customHeight="true" outlineLevel="0" collapsed="false">
      <c r="A4" s="0" t="s">
        <v>212</v>
      </c>
      <c r="B4" s="1" t="n">
        <f aca="false">(0.12*(ht/2.54))-2.677</f>
        <v>4.88205511811024</v>
      </c>
      <c r="C4" s="1" t="n">
        <f aca="false">(0.063*(ht/2.54))-1.161</f>
        <v>2.80750393700787</v>
      </c>
      <c r="D4" s="9" t="n">
        <f aca="false">B4*(H4/100)</f>
        <v>1.44699231645669</v>
      </c>
      <c r="E4" s="9" t="n">
        <f aca="false">(0.053*(ht/2.54))-(0.025*age)+1.125</f>
        <v>3.21358267716535</v>
      </c>
      <c r="F4" s="1" t="n">
        <f aca="false">B4-C4</f>
        <v>2.07455118110236</v>
      </c>
      <c r="G4" s="1" t="n">
        <f aca="false">C4-D4</f>
        <v>1.36051162055118</v>
      </c>
      <c r="H4" s="1" t="n">
        <f aca="false">(0.215*age)+18.889</f>
        <v>29.639</v>
      </c>
    </row>
    <row r="5" customFormat="false" ht="12.85" hidden="false" customHeight="true" outlineLevel="0" collapsed="false">
      <c r="A5" s="2" t="s">
        <v>59</v>
      </c>
      <c r="B5" s="1" t="n">
        <f aca="false">(0.106*ht)-11.396</f>
        <v>5.564</v>
      </c>
      <c r="C5" s="1" t="n">
        <f aca="false">(0.089*ht)-(0.033*wt)+(0.018*age)-10.185</f>
        <v>2.48</v>
      </c>
      <c r="D5" s="9" t="n">
        <f aca="false">(0.043*ht)-(0.012*wt)+(0.024*age)-5.564</f>
        <v>1.616</v>
      </c>
      <c r="E5" s="9" t="n">
        <f aca="false">(0.073*ht)-(0.021*age)-6.866</f>
        <v>3.764</v>
      </c>
      <c r="F5" s="1" t="n">
        <f aca="false">(0.023*ht)+(0.025*wt)-(0.016*age)-1.89</f>
        <v>2.865</v>
      </c>
      <c r="G5" s="1" t="n">
        <f aca="false">(0.046*ht)-(0.021*wt)-(0.006*age)-4.661</f>
        <v>0.824</v>
      </c>
      <c r="H5" s="1" t="n">
        <f aca="false">(D5/B5)*100</f>
        <v>29.0438533429188</v>
      </c>
    </row>
    <row r="6" customFormat="false" ht="12.85" hidden="false" customHeight="true" outlineLevel="0" collapsed="false">
      <c r="A6" s="2" t="s">
        <v>60</v>
      </c>
      <c r="B6" s="1" t="n">
        <f aca="false">(0.0795*ht)+(0.0032*age)-7.333</f>
        <v>5.547</v>
      </c>
      <c r="C6" s="1" t="n">
        <f aca="false">(0.0472*ht)+(0.009*age)-5.29</f>
        <v>2.712</v>
      </c>
      <c r="D6" s="1" t="n">
        <f aca="false">(0.0216*ht)+(0.0207*age)-2.84</f>
        <v>1.651</v>
      </c>
      <c r="E6" s="1" t="n">
        <f aca="false">B6-D6</f>
        <v>3.896</v>
      </c>
      <c r="F6" s="1" t="n">
        <f aca="false">B6-C6</f>
        <v>2.835</v>
      </c>
      <c r="G6" s="1" t="n">
        <f aca="false">C6-D6</f>
        <v>1.061</v>
      </c>
      <c r="H6" s="1" t="n">
        <f aca="false">(0.309*age)+14.063</f>
        <v>29.513</v>
      </c>
    </row>
    <row r="7" customFormat="false" ht="12.85" hidden="false" customHeight="true" outlineLevel="0" collapsed="false">
      <c r="A7" s="2" t="s">
        <v>213</v>
      </c>
      <c r="B7" s="1" t="n">
        <f aca="false">2.53-(0.00000352*age^3)+(0.0000009212*ht^3)</f>
        <v>5.8632352</v>
      </c>
      <c r="C7" s="1" t="n">
        <f aca="false">0.838+(0.0000004526*ht^3)</f>
        <v>2.6918496</v>
      </c>
      <c r="D7" s="9" t="n">
        <f aca="false">(0.02261*wt)+(0.03978*age)-2.703</f>
        <v>0.98175</v>
      </c>
      <c r="E7" s="9" t="n">
        <f aca="false">2.064-(0.0000032*age^3)+(0.0000006171*ht^3)</f>
        <v>4.1916416</v>
      </c>
      <c r="F7" s="1" t="n">
        <f aca="false">2.327-(0.00000455*age^3)+(0.0000004124*ht^3)</f>
        <v>3.4474404</v>
      </c>
      <c r="G7" s="1" t="n">
        <f aca="false">-3.907+(0.000001217*age^3)+(0.03028*ht)-(0.000000959*wt^3)</f>
        <v>0.685346875</v>
      </c>
      <c r="H7" s="1" t="n">
        <f aca="false">23.79+(0.00002066*age^3)</f>
        <v>26.3725</v>
      </c>
    </row>
    <row r="8" customFormat="false" ht="12.85" hidden="false" customHeight="true" outlineLevel="0" collapsed="false">
      <c r="A8" s="2" t="s">
        <v>214</v>
      </c>
      <c r="B8" s="1" t="n">
        <f aca="false">2.321-(0.00000309*age^3)+(0.0000009765*ht^3)</f>
        <v>5.934494</v>
      </c>
      <c r="C8" s="1" t="n">
        <f aca="false">-1.425+(0.02188*age)+(0.0000007418*ht^3)-(0.00000103*wt^3)</f>
        <v>2.27288155</v>
      </c>
      <c r="D8" s="9" t="n">
        <f aca="false">(0.0000003551*ht^3)+0.315</f>
        <v>1.7694896</v>
      </c>
      <c r="E8" s="9" t="n">
        <f aca="false">2.064-(0.0000032*age^3)+(0.0000006171*ht^3)</f>
        <v>4.1916416</v>
      </c>
      <c r="F8" s="1" t="n">
        <f aca="false">2.327-(0.00000455*age^3)+(0.0000004124*ht^3)</f>
        <v>3.4474404</v>
      </c>
      <c r="G8" s="1" t="n">
        <f aca="false">-3.907+(0.000001217*age^3)+(0.03028*ht)-(0.000000959*wt^3)</f>
        <v>0.685346875</v>
      </c>
      <c r="H8" s="1" t="n">
        <f aca="false">11.59+(0.314*age)</f>
        <v>27.29</v>
      </c>
    </row>
    <row r="9" customFormat="false" ht="12.85" hidden="false" customHeight="true" outlineLevel="0" collapsed="false">
      <c r="A9" s="2" t="s">
        <v>215</v>
      </c>
      <c r="B9" s="1"/>
      <c r="C9" s="1"/>
      <c r="D9" s="9" t="n">
        <f aca="false">(95.09*age)-(95.05*age^1)+(0.011*age)-0.521</f>
        <v>2.029</v>
      </c>
      <c r="E9" s="9"/>
      <c r="F9" s="1"/>
      <c r="G9" s="1"/>
      <c r="H9" s="1"/>
    </row>
    <row r="10" customFormat="false" ht="12.85" hidden="false" customHeight="true" outlineLevel="0" collapsed="false">
      <c r="A10" s="2" t="s">
        <v>216</v>
      </c>
      <c r="B10" s="1" t="n">
        <f aca="false">-8.618+(0.09*ht)</f>
        <v>5.782</v>
      </c>
      <c r="C10" s="1" t="n">
        <f aca="false">-4.633+(0.046*ht)</f>
        <v>2.727</v>
      </c>
      <c r="D10" s="9" t="n">
        <f aca="false">-2.443+(0.02*ht)+(0.021*age)</f>
        <v>1.807</v>
      </c>
      <c r="E10" s="9" t="n">
        <f aca="false">-5.897+(0.069*ht)-(0.023*age)</f>
        <v>3.993</v>
      </c>
      <c r="F10" s="1" t="n">
        <f aca="false">B10-C10</f>
        <v>3.055</v>
      </c>
      <c r="G10" s="1" t="n">
        <f aca="false">C10-D10</f>
        <v>0.919999999999999</v>
      </c>
      <c r="H10" s="1" t="n">
        <f aca="false">(D10/B10)*100</f>
        <v>31.2521618817018</v>
      </c>
    </row>
    <row r="11" customFormat="false" ht="12.85" hidden="false" customHeight="true" outlineLevel="0" collapsed="false">
      <c r="A11" s="2" t="s">
        <v>226</v>
      </c>
      <c r="B11" s="1"/>
      <c r="C11" s="1"/>
      <c r="D11" s="9" t="n">
        <f aca="false">(0.0276*ht)+(0.05*age)-4.73</f>
        <v>2.186</v>
      </c>
      <c r="E11" s="9"/>
      <c r="F11" s="1"/>
      <c r="G11" s="1"/>
      <c r="H11" s="1"/>
    </row>
    <row r="12" customFormat="false" ht="12.85" hidden="false" customHeight="true" outlineLevel="0" collapsed="false">
      <c r="A12" s="2" t="s">
        <v>217</v>
      </c>
      <c r="B12" s="1" t="n">
        <f aca="false">(0.118*ht)-13.23</f>
        <v>5.65</v>
      </c>
      <c r="C12" s="1" t="n">
        <f aca="false">(0.0092*age)+(0.0278*ht)-1.83</f>
        <v>3.078</v>
      </c>
      <c r="D12" s="9" t="n">
        <f aca="false">(0.0197*ht)+(0.0141*age)-2.08</f>
        <v>1.777</v>
      </c>
      <c r="E12" s="9" t="n">
        <f aca="false">B12-D12</f>
        <v>3.873</v>
      </c>
      <c r="F12" s="1" t="n">
        <f aca="false">(-0.011*age)+(0.0646*ht)-7.05</f>
        <v>2.736</v>
      </c>
      <c r="G12" s="1" t="n">
        <f aca="false">C12-D12</f>
        <v>1.301</v>
      </c>
      <c r="H12" s="1" t="n">
        <f aca="false">((0.0022*age)-(0.0025*ht)+0.61)*100</f>
        <v>32</v>
      </c>
    </row>
    <row r="13" customFormat="false" ht="12.85" hidden="false" customHeight="true" outlineLevel="0" collapsed="false">
      <c r="A13" s="2" t="s">
        <v>218</v>
      </c>
      <c r="B13" s="1"/>
      <c r="C13" s="1"/>
      <c r="D13" s="9" t="n">
        <f aca="false">(0.022618*ht)+(0.020664*age)-2.688</f>
        <v>1.96408</v>
      </c>
      <c r="E13" s="9"/>
      <c r="F13" s="1"/>
      <c r="G13" s="1"/>
      <c r="H13" s="1"/>
    </row>
    <row r="14" customFormat="false" ht="12.85" hidden="false" customHeight="true" outlineLevel="0" collapsed="false">
      <c r="A14" s="2" t="s">
        <v>219</v>
      </c>
      <c r="B14" s="1" t="n">
        <f aca="false">(7.99*ht*0.01)-7.08</f>
        <v>5.704</v>
      </c>
      <c r="C14" s="1" t="n">
        <f aca="false">(2.34*ht*0.01)+(0.01*age)-1</f>
        <v>3.244</v>
      </c>
      <c r="D14" s="9" t="n">
        <f aca="false">(0.0131*ht)+(0.022*age)-1.23</f>
        <v>1.966</v>
      </c>
      <c r="E14" s="9" t="n">
        <f aca="false">B14-D14</f>
        <v>3.738</v>
      </c>
      <c r="F14" s="1" t="n">
        <f aca="false">B14-C14</f>
        <v>2.46</v>
      </c>
      <c r="G14" s="1" t="n">
        <f aca="false">C14-D14</f>
        <v>1.278</v>
      </c>
      <c r="H14" s="1" t="n">
        <f aca="false">(D14/B14)*100</f>
        <v>34.4670406732118</v>
      </c>
    </row>
    <row r="15" customFormat="false" ht="12.85" hidden="false" customHeight="true" outlineLevel="0" collapsed="false">
      <c r="A15" s="0" t="s">
        <v>220</v>
      </c>
      <c r="B15" s="1"/>
      <c r="C15" s="1"/>
      <c r="D15" s="1" t="n">
        <f aca="false">(0.019*ht)+(0.007*age)-1.945</f>
        <v>1.445</v>
      </c>
      <c r="E15" s="1"/>
      <c r="F15" s="1"/>
      <c r="G15" s="1"/>
      <c r="H15" s="1"/>
    </row>
    <row r="16" customFormat="false" ht="12.85" hidden="false" customHeight="true" outlineLevel="0" collapsed="false">
      <c r="A16" s="0" t="s">
        <v>221</v>
      </c>
      <c r="B16" s="1" t="n">
        <f aca="false">-5.152+(ht*0.064)-(0.017*age)</f>
        <v>4.238</v>
      </c>
      <c r="C16" s="1"/>
      <c r="D16" s="1"/>
      <c r="E16" s="1"/>
      <c r="F16" s="1"/>
      <c r="G16" s="1"/>
      <c r="H16" s="1"/>
    </row>
    <row r="17" customFormat="false" ht="12.85" hidden="false" customHeight="true" outlineLevel="0" collapsed="false">
      <c r="A17" s="0" t="s">
        <v>222</v>
      </c>
      <c r="B17" s="1" t="n">
        <f aca="false">-9.08+(9.45*(ht/100))</f>
        <v>6.04</v>
      </c>
      <c r="C17" s="1" t="n">
        <f aca="false">-7.02+(6.3*(ht/100))</f>
        <v>3.06</v>
      </c>
      <c r="D17" s="1" t="n">
        <f aca="false">-3.6+(0.024*age)+(2.75*(ht/100))</f>
        <v>2</v>
      </c>
      <c r="E17" s="1" t="n">
        <f aca="false">-4.69-(0.025*age)+(6.44*(ht/100))</f>
        <v>4.364</v>
      </c>
      <c r="F17" s="1" t="n">
        <f aca="false">-0.83-(0.014*age)+(2.83*(ht/100))</f>
        <v>2.998</v>
      </c>
      <c r="G17" s="1" t="n">
        <f aca="false">-4.41-(0.012*age)+(3.95*(ht/100))</f>
        <v>1.31</v>
      </c>
      <c r="H17" s="1" t="n">
        <f aca="false">8.64+(0.39*age)</f>
        <v>28.14</v>
      </c>
    </row>
    <row r="18" customFormat="false" ht="12.85" hidden="false" customHeight="true" outlineLevel="0" collapsed="false">
      <c r="A18" s="0" t="s">
        <v>223</v>
      </c>
      <c r="B18" s="1" t="n">
        <f aca="false">(7.956*(ht/100))-6.948</f>
        <v>5.7816</v>
      </c>
      <c r="C18" s="1" t="n">
        <f aca="false">(7.502*(ht/100)+(0.009*age)-(0.033*wt)-7.608)</f>
        <v>2.3702</v>
      </c>
      <c r="D18" s="1" t="n">
        <f aca="false">(3.38*(ht/100))+(0.02*age)-(0.014*wt)-3.927</f>
        <v>1.431</v>
      </c>
      <c r="E18" s="1" t="n">
        <f aca="false">B18-D18</f>
        <v>4.3506</v>
      </c>
      <c r="F18" s="1"/>
      <c r="G18" s="1"/>
      <c r="H18" s="1" t="n">
        <f aca="false">(0.246*age)+16.108</f>
        <v>28.408</v>
      </c>
    </row>
    <row r="19" customFormat="false" ht="12.85" hidden="false" customHeight="true" outlineLevel="0" collapsed="false">
      <c r="A19" s="0" t="s">
        <v>52</v>
      </c>
      <c r="B19" s="1" t="n">
        <f aca="false">AVERAGE(B4:B18)</f>
        <v>5.54421675619184</v>
      </c>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G19"/>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G18" activeCellId="0" sqref="G18"/>
    </sheetView>
  </sheetViews>
  <sheetFormatPr defaultRowHeight="12.85"/>
  <cols>
    <col collapsed="false" hidden="false" max="1025" min="1" style="0" width="11.5204081632653"/>
  </cols>
  <sheetData>
    <row r="1" customFormat="false" ht="12.85" hidden="false" customHeight="true" outlineLevel="0" collapsed="false">
      <c r="A1" s="0" t="s">
        <v>227</v>
      </c>
    </row>
    <row r="3" customFormat="false" ht="12.85" hidden="false" customHeight="true" outlineLevel="0" collapsed="false">
      <c r="B3" s="5" t="s">
        <v>66</v>
      </c>
      <c r="C3" s="5" t="s">
        <v>67</v>
      </c>
      <c r="D3" s="5" t="s">
        <v>68</v>
      </c>
      <c r="E3" s="5" t="s">
        <v>69</v>
      </c>
      <c r="F3" s="5" t="s">
        <v>70</v>
      </c>
    </row>
    <row r="4" customFormat="false" ht="13.4" hidden="false" customHeight="true" outlineLevel="0" collapsed="false">
      <c r="A4" s="6" t="s">
        <v>228</v>
      </c>
      <c r="B4" s="10" t="s">
        <v>111</v>
      </c>
      <c r="C4" s="10" t="n">
        <v>197</v>
      </c>
      <c r="D4" s="10" t="s">
        <v>229</v>
      </c>
      <c r="E4" s="10" t="n">
        <v>134</v>
      </c>
      <c r="F4" s="10" t="s">
        <v>229</v>
      </c>
      <c r="G4" s="11" t="s">
        <v>230</v>
      </c>
    </row>
    <row r="5" customFormat="false" ht="13.4" hidden="false" customHeight="true" outlineLevel="0" collapsed="false">
      <c r="A5" s="6" t="s">
        <v>231</v>
      </c>
      <c r="B5" s="10" t="s">
        <v>111</v>
      </c>
      <c r="C5" s="10"/>
      <c r="D5" s="10"/>
      <c r="E5" s="10"/>
      <c r="F5" s="10"/>
      <c r="G5" s="11" t="s">
        <v>232</v>
      </c>
    </row>
    <row r="6" customFormat="false" ht="13.4" hidden="false" customHeight="true" outlineLevel="0" collapsed="false">
      <c r="A6" s="6" t="s">
        <v>233</v>
      </c>
      <c r="B6" s="10" t="s">
        <v>72</v>
      </c>
      <c r="C6" s="10" t="s">
        <v>234</v>
      </c>
      <c r="D6" s="10" t="s">
        <v>235</v>
      </c>
      <c r="E6" s="10" t="s">
        <v>236</v>
      </c>
      <c r="F6" s="10" t="s">
        <v>235</v>
      </c>
      <c r="G6" s="11" t="s">
        <v>237</v>
      </c>
    </row>
    <row r="7" customFormat="false" ht="13.4" hidden="false" customHeight="true" outlineLevel="0" collapsed="false">
      <c r="A7" s="6" t="s">
        <v>238</v>
      </c>
      <c r="B7" s="10" t="s">
        <v>72</v>
      </c>
      <c r="C7" s="10" t="n">
        <v>122</v>
      </c>
      <c r="D7" s="10" t="s">
        <v>239</v>
      </c>
      <c r="E7" s="10" t="n">
        <v>123</v>
      </c>
      <c r="F7" s="10" t="s">
        <v>240</v>
      </c>
      <c r="G7" s="11" t="s">
        <v>241</v>
      </c>
    </row>
    <row r="8" customFormat="false" ht="13.4" hidden="false" customHeight="true" outlineLevel="0" collapsed="false">
      <c r="A8" s="6" t="s">
        <v>242</v>
      </c>
      <c r="B8" s="10" t="s">
        <v>72</v>
      </c>
      <c r="C8" s="10" t="s">
        <v>243</v>
      </c>
      <c r="D8" s="10" t="s">
        <v>244</v>
      </c>
      <c r="E8" s="10" t="s">
        <v>245</v>
      </c>
      <c r="F8" s="10" t="s">
        <v>244</v>
      </c>
      <c r="G8" s="11" t="s">
        <v>246</v>
      </c>
    </row>
    <row r="9" customFormat="false" ht="13.4" hidden="false" customHeight="true" outlineLevel="0" collapsed="false">
      <c r="A9" s="6" t="s">
        <v>247</v>
      </c>
      <c r="B9" s="10" t="s">
        <v>162</v>
      </c>
      <c r="C9" s="10" t="s">
        <v>248</v>
      </c>
      <c r="D9" s="10" t="s">
        <v>249</v>
      </c>
      <c r="E9" s="10" t="s">
        <v>250</v>
      </c>
      <c r="F9" s="10" t="s">
        <v>249</v>
      </c>
      <c r="G9" s="11" t="s">
        <v>251</v>
      </c>
    </row>
    <row r="10" customFormat="false" ht="13.4" hidden="false" customHeight="true" outlineLevel="0" collapsed="false">
      <c r="A10" s="6" t="s">
        <v>252</v>
      </c>
      <c r="B10" s="5" t="s">
        <v>72</v>
      </c>
      <c r="C10" s="5" t="n">
        <v>327</v>
      </c>
      <c r="D10" s="5" t="s">
        <v>78</v>
      </c>
      <c r="E10" s="5" t="n">
        <v>300</v>
      </c>
      <c r="F10" s="5" t="s">
        <v>78</v>
      </c>
      <c r="G10" s="11" t="s">
        <v>79</v>
      </c>
    </row>
    <row r="11" customFormat="false" ht="13.4" hidden="false" customHeight="true" outlineLevel="0" collapsed="false">
      <c r="A11" s="6" t="s">
        <v>253</v>
      </c>
      <c r="B11" s="10" t="s">
        <v>72</v>
      </c>
      <c r="C11" s="10" t="s">
        <v>95</v>
      </c>
      <c r="D11" s="10"/>
      <c r="E11" s="10" t="s">
        <v>254</v>
      </c>
      <c r="F11" s="10" t="s">
        <v>255</v>
      </c>
      <c r="G11" s="11" t="s">
        <v>256</v>
      </c>
    </row>
    <row r="12" customFormat="false" ht="12.85" hidden="false" customHeight="true" outlineLevel="0" collapsed="false">
      <c r="A12" s="6"/>
      <c r="B12" s="10" t="s">
        <v>75</v>
      </c>
      <c r="C12" s="10" t="s">
        <v>95</v>
      </c>
      <c r="D12" s="10"/>
      <c r="E12" s="10" t="s">
        <v>257</v>
      </c>
      <c r="F12" s="10" t="s">
        <v>258</v>
      </c>
      <c r="G12" s="11"/>
    </row>
    <row r="13" customFormat="false" ht="13.4" hidden="false" customHeight="true" outlineLevel="0" collapsed="false">
      <c r="A13" s="6" t="s">
        <v>102</v>
      </c>
      <c r="B13" s="10" t="s">
        <v>259</v>
      </c>
      <c r="C13" s="10" t="s">
        <v>260</v>
      </c>
      <c r="D13" s="10" t="s">
        <v>103</v>
      </c>
      <c r="E13" s="10" t="s">
        <v>260</v>
      </c>
      <c r="F13" s="10" t="s">
        <v>103</v>
      </c>
      <c r="G13" s="11" t="s">
        <v>261</v>
      </c>
    </row>
    <row r="14" customFormat="false" ht="13.4" hidden="false" customHeight="true" outlineLevel="0" collapsed="false">
      <c r="A14" s="6" t="s">
        <v>262</v>
      </c>
      <c r="B14" s="10" t="s">
        <v>72</v>
      </c>
      <c r="C14" s="10" t="s">
        <v>263</v>
      </c>
      <c r="D14" s="10" t="s">
        <v>264</v>
      </c>
      <c r="E14" s="10" t="s">
        <v>265</v>
      </c>
      <c r="F14" s="10" t="s">
        <v>264</v>
      </c>
      <c r="G14" s="11" t="s">
        <v>266</v>
      </c>
    </row>
    <row r="15" customFormat="false" ht="13.4" hidden="false" customHeight="true" outlineLevel="0" collapsed="false">
      <c r="A15" s="6" t="s">
        <v>267</v>
      </c>
      <c r="B15" s="10" t="s">
        <v>72</v>
      </c>
      <c r="C15" s="10" t="s">
        <v>148</v>
      </c>
      <c r="D15" s="10" t="s">
        <v>122</v>
      </c>
      <c r="E15" s="10" t="s">
        <v>150</v>
      </c>
      <c r="F15" s="10" t="s">
        <v>122</v>
      </c>
      <c r="G15" s="11" t="s">
        <v>268</v>
      </c>
    </row>
    <row r="16" customFormat="false" ht="13.4" hidden="false" customHeight="true" outlineLevel="0" collapsed="false">
      <c r="A16" s="6" t="s">
        <v>269</v>
      </c>
      <c r="B16" s="10" t="s">
        <v>107</v>
      </c>
      <c r="C16" s="10"/>
      <c r="D16" s="10"/>
      <c r="E16" s="10"/>
      <c r="F16" s="10"/>
      <c r="G16" s="11" t="s">
        <v>270</v>
      </c>
    </row>
    <row r="17" customFormat="false" ht="13.4" hidden="false" customHeight="true" outlineLevel="0" collapsed="false">
      <c r="A17" s="6" t="s">
        <v>120</v>
      </c>
      <c r="B17" s="0" t="s">
        <v>107</v>
      </c>
      <c r="C17" s="5" t="n">
        <v>137</v>
      </c>
      <c r="D17" s="5" t="s">
        <v>103</v>
      </c>
      <c r="E17" s="5" t="n">
        <v>226</v>
      </c>
      <c r="F17" s="5" t="s">
        <v>108</v>
      </c>
      <c r="G17" s="11" t="s">
        <v>109</v>
      </c>
    </row>
    <row r="18" customFormat="false" ht="13.4" hidden="false" customHeight="true" outlineLevel="0" collapsed="false">
      <c r="A18" s="6" t="s">
        <v>271</v>
      </c>
      <c r="B18" s="0" t="s">
        <v>72</v>
      </c>
      <c r="C18" s="5" t="s">
        <v>121</v>
      </c>
      <c r="D18" s="5" t="s">
        <v>122</v>
      </c>
      <c r="E18" s="5" t="s">
        <v>123</v>
      </c>
      <c r="F18" s="5" t="s">
        <v>122</v>
      </c>
      <c r="G18" s="11" t="s">
        <v>124</v>
      </c>
    </row>
    <row r="19" customFormat="false" ht="13.4" hidden="false" customHeight="true" outlineLevel="0" collapsed="false">
      <c r="A19" s="6" t="s">
        <v>131</v>
      </c>
      <c r="B19" s="0" t="s">
        <v>72</v>
      </c>
      <c r="C19" s="5" t="s">
        <v>148</v>
      </c>
      <c r="D19" s="5" t="s">
        <v>149</v>
      </c>
      <c r="E19" s="5" t="s">
        <v>150</v>
      </c>
      <c r="F19" s="5" t="s">
        <v>149</v>
      </c>
      <c r="G19" s="11" t="s">
        <v>151</v>
      </c>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P21"/>
  <sheetViews>
    <sheetView windowProtection="false" showFormulas="false" showGridLines="true" showRowColHeaders="true" showZeros="true" rightToLeft="false" tabSelected="true" showOutlineSymbols="true" defaultGridColor="true" view="normal" topLeftCell="A1" colorId="64" zoomScale="150" zoomScaleNormal="150" zoomScalePageLayoutView="100" workbookViewId="0">
      <selection pane="topLeft" activeCell="B5" activeCellId="0" sqref="B5"/>
    </sheetView>
  </sheetViews>
  <sheetFormatPr defaultRowHeight="12.85"/>
  <cols>
    <col collapsed="false" hidden="false" max="1" min="1" style="0" width="15.4183673469388"/>
    <col collapsed="false" hidden="false" max="1025" min="2" style="0" width="11.5204081632653"/>
  </cols>
  <sheetData>
    <row r="1" customFormat="false" ht="12.85" hidden="false" customHeight="true" outlineLevel="0" collapsed="false">
      <c r="A1" s="0" t="s">
        <v>272</v>
      </c>
    </row>
    <row r="3" customFormat="false" ht="12.85" hidden="false" customHeight="true" outlineLevel="0" collapsed="false">
      <c r="A3" s="0" t="s">
        <v>7</v>
      </c>
    </row>
    <row r="4" customFormat="false" ht="12.85" hidden="false" customHeight="true" outlineLevel="0" collapsed="false">
      <c r="A4" s="12" t="s">
        <v>55</v>
      </c>
      <c r="B4" s="1" t="n">
        <f aca="false">(0.256*ht)-(0.144*age)-8.36</f>
        <v>25.4</v>
      </c>
      <c r="C4" s="1"/>
      <c r="D4" s="1"/>
      <c r="E4" s="1"/>
      <c r="F4" s="1"/>
      <c r="G4" s="1"/>
      <c r="H4" s="1"/>
      <c r="I4" s="1"/>
      <c r="J4" s="1"/>
      <c r="K4" s="1"/>
      <c r="L4" s="1"/>
      <c r="M4" s="1"/>
      <c r="N4" s="1"/>
      <c r="P4" s="13"/>
    </row>
    <row r="5" customFormat="false" ht="12.85" hidden="false" customHeight="true" outlineLevel="0" collapsed="false">
      <c r="A5" s="12" t="s">
        <v>58</v>
      </c>
      <c r="B5" s="1" t="n">
        <f aca="false">(0.1118*ht)-(0.177*age)+7.72</f>
        <v>16.758</v>
      </c>
      <c r="C5" s="1"/>
      <c r="D5" s="1"/>
      <c r="E5" s="1"/>
      <c r="F5" s="1"/>
      <c r="G5" s="1"/>
      <c r="H5" s="1"/>
      <c r="I5" s="1"/>
      <c r="J5" s="1"/>
      <c r="K5" s="1"/>
      <c r="L5" s="1"/>
      <c r="M5" s="1"/>
      <c r="N5" s="1"/>
      <c r="P5" s="13"/>
    </row>
    <row r="6" customFormat="false" ht="12.85" hidden="false" customHeight="true" outlineLevel="0" collapsed="false">
      <c r="A6" s="12" t="s">
        <v>59</v>
      </c>
      <c r="B6" s="1" t="n">
        <f aca="false">((0.0911*ht)-(0.043*age)-4.93)*2.986</f>
        <v>22.383056</v>
      </c>
      <c r="C6" s="1"/>
      <c r="D6" s="1"/>
      <c r="E6" s="1"/>
      <c r="F6" s="1"/>
      <c r="G6" s="1"/>
      <c r="H6" s="1"/>
      <c r="I6" s="1"/>
      <c r="J6" s="1"/>
      <c r="K6" s="1"/>
      <c r="L6" s="1"/>
      <c r="M6" s="1"/>
      <c r="N6" s="1"/>
      <c r="P6" s="13"/>
    </row>
    <row r="7" customFormat="false" ht="12.85" hidden="false" customHeight="true" outlineLevel="0" collapsed="false">
      <c r="A7" s="12" t="s">
        <v>60</v>
      </c>
      <c r="B7" s="1" t="n">
        <f aca="false">(0.238*ht)-(0.153*age)-7.781</f>
        <v>22.649</v>
      </c>
      <c r="C7" s="1"/>
      <c r="D7" s="1"/>
      <c r="E7" s="1"/>
      <c r="F7" s="1"/>
      <c r="G7" s="1"/>
      <c r="H7" s="1"/>
      <c r="I7" s="1"/>
      <c r="J7" s="1"/>
      <c r="K7" s="1"/>
      <c r="L7" s="1"/>
      <c r="M7" s="1"/>
      <c r="N7" s="1"/>
      <c r="P7" s="13"/>
    </row>
    <row r="8" customFormat="false" ht="12.85" hidden="false" customHeight="true" outlineLevel="0" collapsed="false">
      <c r="A8" s="14" t="s">
        <v>273</v>
      </c>
      <c r="B8" s="9" t="n">
        <f aca="false">(-0.0604*ht)-(0.9363*age)+(ht*age*0.0055)+33.061</f>
        <v>20.582</v>
      </c>
      <c r="C8" s="9"/>
      <c r="D8" s="9"/>
      <c r="E8" s="9"/>
      <c r="F8" s="9"/>
      <c r="G8" s="9"/>
      <c r="H8" s="9"/>
      <c r="I8" s="9"/>
      <c r="J8" s="9"/>
      <c r="K8" s="9"/>
      <c r="L8" s="9"/>
      <c r="M8" s="9"/>
      <c r="N8" s="9"/>
      <c r="O8" s="2"/>
      <c r="P8" s="13"/>
    </row>
    <row r="9" customFormat="false" ht="12.85" hidden="false" customHeight="true" outlineLevel="0" collapsed="false">
      <c r="A9" s="14" t="s">
        <v>62</v>
      </c>
      <c r="B9" s="9" t="n">
        <f aca="false">(0.1872*ht)-(0.146*age)+3.8821</f>
        <v>26.5341</v>
      </c>
      <c r="C9" s="9"/>
      <c r="D9" s="9"/>
      <c r="E9" s="9"/>
      <c r="F9" s="9"/>
      <c r="G9" s="9"/>
      <c r="H9" s="9"/>
      <c r="I9" s="9"/>
      <c r="J9" s="9"/>
      <c r="K9" s="9"/>
      <c r="L9" s="9"/>
      <c r="M9" s="9"/>
      <c r="N9" s="9"/>
      <c r="O9" s="2"/>
      <c r="P9" s="13"/>
    </row>
    <row r="10" customFormat="false" ht="12.85" hidden="false" customHeight="true" outlineLevel="0" collapsed="false">
      <c r="A10" s="14" t="s">
        <v>216</v>
      </c>
      <c r="B10" s="9" t="n">
        <f aca="false">((0.0958*ht)-(0.06*age)-4.91)*2.986</f>
        <v>22.150148</v>
      </c>
      <c r="C10" s="9"/>
      <c r="D10" s="9"/>
      <c r="E10" s="9"/>
      <c r="F10" s="9"/>
      <c r="G10" s="9"/>
      <c r="H10" s="9"/>
      <c r="I10" s="9"/>
      <c r="J10" s="9"/>
      <c r="K10" s="9"/>
      <c r="L10" s="9"/>
      <c r="M10" s="9"/>
      <c r="N10" s="9"/>
      <c r="O10" s="2"/>
      <c r="P10" s="13"/>
    </row>
    <row r="11" customFormat="false" ht="12.85" hidden="false" customHeight="true" outlineLevel="0" collapsed="false">
      <c r="A11" s="14" t="s">
        <v>226</v>
      </c>
      <c r="B11" s="9" t="n">
        <f aca="false">(0.16*ht)-(0.1111*age)+2.2382</f>
        <v>22.2832</v>
      </c>
      <c r="C11" s="9"/>
      <c r="D11" s="9"/>
      <c r="E11" s="9"/>
      <c r="F11" s="9"/>
      <c r="G11" s="9"/>
      <c r="H11" s="9"/>
      <c r="I11" s="9"/>
      <c r="J11" s="9"/>
      <c r="K11" s="9"/>
      <c r="L11" s="9"/>
      <c r="M11" s="9"/>
      <c r="N11" s="9"/>
      <c r="O11" s="2"/>
      <c r="P11" s="13"/>
    </row>
    <row r="12" customFormat="false" ht="12.85" hidden="false" customHeight="true" outlineLevel="0" collapsed="false">
      <c r="A12" s="14" t="s">
        <v>217</v>
      </c>
      <c r="B12" s="9" t="n">
        <f aca="false">(0.18*ht)-(0.075*age)+0.2</f>
        <v>25.25</v>
      </c>
      <c r="C12" s="9"/>
      <c r="D12" s="9"/>
      <c r="E12" s="9"/>
      <c r="F12" s="9"/>
      <c r="G12" s="9"/>
      <c r="H12" s="9"/>
      <c r="I12" s="9"/>
      <c r="J12" s="9"/>
      <c r="K12" s="9"/>
      <c r="L12" s="9"/>
      <c r="M12" s="9"/>
      <c r="N12" s="9"/>
      <c r="O12" s="2"/>
      <c r="P12" s="13"/>
    </row>
    <row r="13" customFormat="false" ht="12.85" hidden="false" customHeight="true" outlineLevel="0" collapsed="false">
      <c r="A13" s="14" t="s">
        <v>218</v>
      </c>
      <c r="B13" s="9" t="n">
        <f aca="false">(0.1569*ht)-(0.0677*age)+5.0767</f>
        <v>26.7957</v>
      </c>
      <c r="C13" s="9"/>
      <c r="D13" s="9"/>
      <c r="E13" s="9"/>
      <c r="F13" s="9"/>
      <c r="G13" s="9"/>
      <c r="H13" s="9"/>
      <c r="I13" s="9"/>
      <c r="J13" s="9"/>
      <c r="K13" s="9"/>
      <c r="L13" s="9"/>
      <c r="M13" s="9"/>
      <c r="N13" s="9"/>
      <c r="O13" s="2"/>
      <c r="P13" s="13"/>
    </row>
    <row r="14" customFormat="false" ht="12.85" hidden="false" customHeight="true" outlineLevel="0" collapsed="false">
      <c r="A14" s="14" t="s">
        <v>219</v>
      </c>
      <c r="B14" s="9" t="n">
        <f aca="false">((0.07391*ht)-(0.037*age)-2.516)*2.986</f>
        <v>22.2743656</v>
      </c>
      <c r="C14" s="9"/>
      <c r="D14" s="9"/>
      <c r="E14" s="9"/>
      <c r="F14" s="9"/>
      <c r="G14" s="9"/>
      <c r="H14" s="9"/>
      <c r="I14" s="9"/>
      <c r="J14" s="9"/>
      <c r="K14" s="9"/>
      <c r="L14" s="9"/>
      <c r="M14" s="9"/>
      <c r="N14" s="9"/>
      <c r="O14" s="2"/>
      <c r="P14" s="13"/>
    </row>
    <row r="15" customFormat="false" ht="12.85" hidden="false" customHeight="true" outlineLevel="0" collapsed="false">
      <c r="A15" s="14" t="s">
        <v>274</v>
      </c>
      <c r="B15" s="9" t="n">
        <f aca="false">(0.1369*ht)-(0.1233*age)+(0.0917*age)+1.8879</f>
        <v>22.2119</v>
      </c>
      <c r="C15" s="9"/>
      <c r="D15" s="9"/>
      <c r="E15" s="9"/>
      <c r="F15" s="9"/>
      <c r="G15" s="9"/>
      <c r="H15" s="9"/>
      <c r="I15" s="9"/>
      <c r="J15" s="9"/>
      <c r="K15" s="9"/>
      <c r="L15" s="9"/>
      <c r="M15" s="9"/>
      <c r="N15" s="9"/>
      <c r="O15" s="2"/>
      <c r="P15" s="13"/>
    </row>
    <row r="16" customFormat="false" ht="12.85" hidden="false" customHeight="true" outlineLevel="0" collapsed="false">
      <c r="A16" s="14" t="s">
        <v>221</v>
      </c>
      <c r="B16" s="9" t="n">
        <f aca="false">((0.032*ht)-(0.00068*(age^2))+2.076*2.986)</f>
        <v>9.618936</v>
      </c>
      <c r="C16" s="9"/>
      <c r="D16" s="9"/>
      <c r="E16" s="9"/>
      <c r="F16" s="9"/>
      <c r="G16" s="9"/>
      <c r="H16" s="9"/>
      <c r="I16" s="9"/>
      <c r="J16" s="9"/>
      <c r="K16" s="9"/>
      <c r="L16" s="9"/>
      <c r="M16" s="9"/>
      <c r="N16" s="9"/>
      <c r="O16" s="2"/>
      <c r="P16" s="13"/>
    </row>
    <row r="17" customFormat="false" ht="12.85" hidden="false" customHeight="true" outlineLevel="0" collapsed="false">
      <c r="A17" s="14" t="s">
        <v>275</v>
      </c>
      <c r="B17" s="9" t="n">
        <f aca="false">(0.1398*ht)-(0.1691*age)+(0.1124*age)-1.1088</f>
        <v>18.4242</v>
      </c>
      <c r="C17" s="9"/>
      <c r="D17" s="9"/>
      <c r="E17" s="9"/>
      <c r="F17" s="9"/>
      <c r="G17" s="9"/>
      <c r="H17" s="9"/>
      <c r="I17" s="9"/>
      <c r="J17" s="9"/>
      <c r="K17" s="9"/>
      <c r="L17" s="9"/>
      <c r="M17" s="9"/>
      <c r="N17" s="9"/>
      <c r="O17" s="2"/>
      <c r="P17" s="13"/>
    </row>
    <row r="18" customFormat="false" ht="12.85" hidden="false" customHeight="true" outlineLevel="0" collapsed="false">
      <c r="A18" s="14" t="s">
        <v>223</v>
      </c>
      <c r="B18" s="9" t="n">
        <f aca="false">(15.5*BSA)-(0.117*age)+0.5</f>
        <v>22.293055531542</v>
      </c>
      <c r="C18" s="9"/>
      <c r="D18" s="9"/>
      <c r="E18" s="9"/>
      <c r="F18" s="9"/>
      <c r="G18" s="9"/>
      <c r="H18" s="9"/>
      <c r="I18" s="9"/>
      <c r="J18" s="9"/>
      <c r="K18" s="9"/>
      <c r="L18" s="9"/>
      <c r="M18" s="9"/>
      <c r="N18" s="9"/>
      <c r="O18" s="2"/>
      <c r="P18" s="13"/>
    </row>
    <row r="19" customFormat="false" ht="12.85" hidden="false" customHeight="true" outlineLevel="0" collapsed="false">
      <c r="A19" s="14" t="s">
        <v>276</v>
      </c>
      <c r="B19" s="9" t="n">
        <f aca="false">-44.15+(0.449*ht)-(0.099*age)</f>
        <v>22.74</v>
      </c>
      <c r="C19" s="9"/>
      <c r="D19" s="9"/>
      <c r="E19" s="9"/>
      <c r="F19" s="9"/>
      <c r="G19" s="9"/>
      <c r="H19" s="9"/>
      <c r="I19" s="9"/>
      <c r="J19" s="9"/>
      <c r="K19" s="9"/>
      <c r="L19" s="9"/>
      <c r="M19" s="9"/>
      <c r="N19" s="9"/>
      <c r="O19" s="2"/>
      <c r="P19" s="13"/>
    </row>
    <row r="20" customFormat="false" ht="12.85" hidden="false" customHeight="true" outlineLevel="0" collapsed="false">
      <c r="A20" s="14" t="s">
        <v>38</v>
      </c>
      <c r="B20" s="9" t="n">
        <f aca="false">(0.53*ht)-61.9</f>
        <v>22.9</v>
      </c>
      <c r="C20" s="9"/>
      <c r="D20" s="9"/>
      <c r="E20" s="9"/>
      <c r="F20" s="9"/>
      <c r="G20" s="9"/>
      <c r="H20" s="9"/>
      <c r="I20" s="9"/>
      <c r="J20" s="9"/>
      <c r="K20" s="9"/>
      <c r="L20" s="9"/>
      <c r="M20" s="9"/>
      <c r="N20" s="9"/>
      <c r="O20" s="2"/>
      <c r="P20" s="13"/>
    </row>
    <row r="21" customFormat="false" ht="12.85" hidden="false" customHeight="true" outlineLevel="0" collapsed="false">
      <c r="A21" s="0" t="s">
        <v>52</v>
      </c>
      <c r="B21" s="1" t="n">
        <f aca="false">AVERAGE(B4:B17)</f>
        <v>21.6653289714286</v>
      </c>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drawing r:id="rId1"/>
</worksheet>
</file>

<file path=xl/worksheets/sheet9.xml><?xml version="1.0" encoding="utf-8"?>
<worksheet xmlns="http://schemas.openxmlformats.org/spreadsheetml/2006/main" xmlns:r="http://schemas.openxmlformats.org/officeDocument/2006/relationships">
  <sheetPr filterMode="false">
    <pageSetUpPr fitToPage="false"/>
  </sheetPr>
  <dimension ref="A1:B21"/>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C5" activeCellId="0" sqref="C5"/>
    </sheetView>
  </sheetViews>
  <sheetFormatPr defaultRowHeight="12.8"/>
  <cols>
    <col collapsed="false" hidden="false" max="1" min="1" style="0" width="15.4183673469388"/>
    <col collapsed="false" hidden="false" max="1025" min="2" style="0" width="11.5204081632653"/>
  </cols>
  <sheetData>
    <row r="1" customFormat="false" ht="12.85" hidden="false" customHeight="true" outlineLevel="0" collapsed="false">
      <c r="A1" s="0" t="s">
        <v>277</v>
      </c>
    </row>
    <row r="2" customFormat="false" ht="12.85" hidden="false" customHeight="true" outlineLevel="0" collapsed="false"/>
    <row r="3" customFormat="false" ht="12.85" hidden="false" customHeight="true" outlineLevel="0" collapsed="false">
      <c r="A3" s="0" t="s">
        <v>54</v>
      </c>
      <c r="B3" s="0" t="s">
        <v>278</v>
      </c>
    </row>
    <row r="4" customFormat="false" ht="12.85" hidden="false" customHeight="true" outlineLevel="0" collapsed="false">
      <c r="A4" s="12" t="s">
        <v>55</v>
      </c>
      <c r="B4" s="1" t="n">
        <f aca="false">(0.416*ht)-(0.219*age)-26.34</f>
        <v>29.27</v>
      </c>
    </row>
    <row r="5" customFormat="false" ht="12.85" hidden="false" customHeight="true" outlineLevel="0" collapsed="false">
      <c r="A5" s="12" t="s">
        <v>58</v>
      </c>
      <c r="B5" s="1" t="n">
        <f aca="false">(0.0984*ht)-(0.177*age)+19.93</f>
        <v>26.824</v>
      </c>
    </row>
    <row r="6" customFormat="false" ht="12.85" hidden="false" customHeight="true" outlineLevel="0" collapsed="false">
      <c r="A6" s="12" t="s">
        <v>59</v>
      </c>
      <c r="B6" s="1" t="n">
        <f aca="false">((0.1217*ht)-(0.057*age)-8.05)*2.986</f>
        <v>25.595992</v>
      </c>
    </row>
    <row r="7" customFormat="false" ht="12.85" hidden="false" customHeight="true" outlineLevel="0" collapsed="false">
      <c r="A7" s="12" t="s">
        <v>60</v>
      </c>
      <c r="B7" s="1" t="n">
        <f aca="false">(0.284*ht)-(0.246*age)-4.625</f>
        <v>28.515</v>
      </c>
    </row>
    <row r="8" customFormat="false" ht="12.85" hidden="false" customHeight="true" outlineLevel="0" collapsed="false">
      <c r="A8" s="14" t="s">
        <v>273</v>
      </c>
      <c r="B8" s="9" t="n">
        <f aca="false">(0.4192*ht)-(0.1963*age)-33.912</f>
        <v>23.345</v>
      </c>
    </row>
    <row r="9" customFormat="false" ht="12.85" hidden="false" customHeight="true" outlineLevel="0" collapsed="false">
      <c r="A9" s="14" t="s">
        <v>62</v>
      </c>
      <c r="B9" s="9" t="n">
        <f aca="false">(0.3551*ht)-(0.2741*age)-11.3527</f>
        <v>31.7583</v>
      </c>
    </row>
    <row r="10" customFormat="false" ht="12.85" hidden="false" customHeight="true" outlineLevel="0" collapsed="false">
      <c r="A10" s="14" t="s">
        <v>216</v>
      </c>
      <c r="B10" s="9" t="n">
        <f aca="false">((0.0958*ht)-(0.06*age)-3.77)*2.986</f>
        <v>25.554188</v>
      </c>
    </row>
    <row r="11" customFormat="false" ht="12.85" hidden="false" customHeight="true" outlineLevel="0" collapsed="false">
      <c r="A11" s="14" t="s">
        <v>226</v>
      </c>
      <c r="B11" s="9" t="n">
        <f aca="false">(0.1646*ht)-(0.219*age)+12.9113</f>
        <v>28.2973</v>
      </c>
    </row>
    <row r="12" customFormat="false" ht="12.85" hidden="false" customHeight="true" outlineLevel="0" collapsed="false">
      <c r="A12" s="14" t="s">
        <v>217</v>
      </c>
      <c r="B12" s="9" t="n">
        <f aca="false">(0.32*ht)-(0.13*age)-13.07</f>
        <v>31.63</v>
      </c>
    </row>
    <row r="13" customFormat="false" ht="12.85" hidden="false" customHeight="true" outlineLevel="0" collapsed="false">
      <c r="A13" s="14" t="s">
        <v>218</v>
      </c>
      <c r="B13" s="9" t="n">
        <f aca="false">(0.44*ht)-(0.1938*age)-31.3822</f>
        <v>29.3278</v>
      </c>
    </row>
    <row r="14" customFormat="false" ht="12.85" hidden="false" customHeight="true" outlineLevel="0" collapsed="false">
      <c r="A14" s="14" t="s">
        <v>219</v>
      </c>
      <c r="B14" s="9" t="n">
        <f aca="false">((0.14005*ht)-(0.074*age)-10.803)*2.986</f>
        <v>23.60433</v>
      </c>
    </row>
    <row r="15" customFormat="false" ht="12.85" hidden="false" customHeight="true" outlineLevel="0" collapsed="false">
      <c r="A15" s="14" t="s">
        <v>274</v>
      </c>
      <c r="B15" s="9" t="n">
        <f aca="false">(0.3874*ht)-(0.1961*age)-21.8982</f>
        <v>30.2808</v>
      </c>
    </row>
    <row r="16" customFormat="false" ht="12.85" hidden="false" customHeight="true" outlineLevel="0" collapsed="false">
      <c r="A16" s="14" t="s">
        <v>221</v>
      </c>
      <c r="B16" s="9" t="n">
        <f aca="false">((0.126*ht)-(0.0004*age^2)-11.326)*2.986</f>
        <v>23.392324</v>
      </c>
    </row>
    <row r="17" customFormat="false" ht="12.85" hidden="false" customHeight="true" outlineLevel="0" collapsed="false">
      <c r="A17" s="14" t="s">
        <v>275</v>
      </c>
      <c r="B17" s="9" t="n">
        <f aca="false">(0.3028*ht)-(0.2323*age)+(0.1132*age)-21.8743</f>
        <v>20.6187</v>
      </c>
    </row>
    <row r="18" customFormat="false" ht="12.85" hidden="false" customHeight="true" outlineLevel="0" collapsed="false">
      <c r="A18" s="14" t="s">
        <v>223</v>
      </c>
      <c r="B18" s="9" t="n">
        <f aca="false">(15.5*BSA)-(0.238*age)+6.8</f>
        <v>22.543055531542</v>
      </c>
    </row>
    <row r="19" customFormat="false" ht="12.85" hidden="false" customHeight="true" outlineLevel="0" collapsed="false">
      <c r="A19" s="14" t="s">
        <v>276</v>
      </c>
      <c r="B19" s="9" t="n">
        <f aca="false">-7.813+(0.318*ht)-(0.624*age)+(0.00552*age^2)</f>
        <v>25.667</v>
      </c>
    </row>
    <row r="20" customFormat="false" ht="12.85" hidden="false" customHeight="true" outlineLevel="0" collapsed="false">
      <c r="A20" s="14" t="s">
        <v>38</v>
      </c>
      <c r="B20" s="9" t="n">
        <f aca="false">(0.53*ht)-61.9</f>
        <v>22.9</v>
      </c>
    </row>
    <row r="21" customFormat="false" ht="12.85" hidden="false" customHeight="true" outlineLevel="0" collapsed="false">
      <c r="A21" s="0" t="s">
        <v>224</v>
      </c>
      <c r="B21" s="1" t="n">
        <f aca="false">AVERAGE(B4:B17)</f>
        <v>27.000981</v>
      </c>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drawing r:id="rId1"/>
</worksheet>
</file>

<file path=xl/worksheets/sheet10.xml><?xml version="1.0" encoding="utf-8"?>
<worksheet xmlns="http://schemas.openxmlformats.org/spreadsheetml/2006/main" xmlns:r="http://schemas.openxmlformats.org/officeDocument/2006/relationships">
  <sheetPr filterMode="false">
    <pageSetUpPr fitToPage="false"/>
  </sheetPr>
  <dimension ref="A1:G20"/>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E26" activeCellId="0" sqref="E26"/>
    </sheetView>
  </sheetViews>
  <sheetFormatPr defaultRowHeight="12.85"/>
  <cols>
    <col collapsed="false" hidden="false" max="1" min="1" style="0" width="11.5204081632653"/>
    <col collapsed="false" hidden="false" max="2" min="2" style="0" width="13.0663265306122"/>
    <col collapsed="false" hidden="false" max="3" min="3" style="0" width="11.5204081632653"/>
    <col collapsed="false" hidden="false" max="4" min="4" style="0" width="14.1938775510204"/>
    <col collapsed="false" hidden="false" max="5" min="5" style="0" width="11.5204081632653"/>
    <col collapsed="false" hidden="false" max="6" min="6" style="0" width="15.2295918367347"/>
    <col collapsed="false" hidden="false" max="1025" min="7" style="0" width="11.5204081632653"/>
  </cols>
  <sheetData>
    <row r="1" customFormat="false" ht="12.85" hidden="false" customHeight="true" outlineLevel="0" collapsed="false">
      <c r="A1" s="0" t="s">
        <v>279</v>
      </c>
    </row>
    <row r="3" customFormat="false" ht="12.85" hidden="false" customHeight="true" outlineLevel="0" collapsed="false">
      <c r="B3" s="7" t="s">
        <v>66</v>
      </c>
      <c r="C3" s="7" t="s">
        <v>67</v>
      </c>
      <c r="D3" s="7" t="s">
        <v>68</v>
      </c>
      <c r="E3" s="7" t="s">
        <v>69</v>
      </c>
      <c r="F3" s="7" t="s">
        <v>70</v>
      </c>
    </row>
    <row r="4" customFormat="false" ht="14.05" hidden="false" customHeight="true" outlineLevel="0" collapsed="false">
      <c r="A4" s="15" t="s">
        <v>228</v>
      </c>
      <c r="B4" s="7" t="s">
        <v>72</v>
      </c>
      <c r="C4" s="7" t="n">
        <v>122</v>
      </c>
      <c r="D4" s="7" t="s">
        <v>239</v>
      </c>
      <c r="E4" s="7" t="n">
        <v>123</v>
      </c>
      <c r="F4" s="7" t="s">
        <v>240</v>
      </c>
      <c r="G4" s="0" t="s">
        <v>280</v>
      </c>
    </row>
    <row r="5" customFormat="false" ht="14.05" hidden="false" customHeight="true" outlineLevel="0" collapsed="false">
      <c r="A5" s="15" t="s">
        <v>281</v>
      </c>
      <c r="B5" s="7" t="s">
        <v>72</v>
      </c>
      <c r="C5" s="7" t="s">
        <v>282</v>
      </c>
      <c r="D5" s="7" t="s">
        <v>283</v>
      </c>
      <c r="E5" s="7"/>
      <c r="F5" s="7" t="s">
        <v>284</v>
      </c>
      <c r="G5" s="0" t="s">
        <v>285</v>
      </c>
    </row>
    <row r="6" customFormat="false" ht="14.05" hidden="false" customHeight="true" outlineLevel="0" collapsed="false">
      <c r="A6" s="15" t="s">
        <v>286</v>
      </c>
      <c r="B6" s="7" t="s">
        <v>72</v>
      </c>
      <c r="C6" s="7" t="s">
        <v>287</v>
      </c>
      <c r="D6" s="7" t="s">
        <v>288</v>
      </c>
      <c r="E6" s="7" t="s">
        <v>289</v>
      </c>
      <c r="F6" s="7" t="s">
        <v>288</v>
      </c>
      <c r="G6" s="0" t="s">
        <v>290</v>
      </c>
    </row>
    <row r="7" customFormat="false" ht="14.05" hidden="false" customHeight="true" outlineLevel="0" collapsed="false">
      <c r="A7" s="15" t="s">
        <v>238</v>
      </c>
      <c r="B7" s="7" t="s">
        <v>72</v>
      </c>
      <c r="C7" s="7" t="n">
        <v>327</v>
      </c>
      <c r="D7" s="7" t="s">
        <v>78</v>
      </c>
      <c r="E7" s="7" t="n">
        <v>300</v>
      </c>
      <c r="F7" s="7" t="s">
        <v>78</v>
      </c>
      <c r="G7" s="0" t="s">
        <v>291</v>
      </c>
    </row>
    <row r="8" customFormat="false" ht="14.05" hidden="false" customHeight="true" outlineLevel="0" collapsed="false">
      <c r="A8" s="15" t="s">
        <v>242</v>
      </c>
      <c r="B8" s="7" t="s">
        <v>111</v>
      </c>
      <c r="C8" s="7" t="s">
        <v>292</v>
      </c>
      <c r="D8" s="7" t="s">
        <v>104</v>
      </c>
      <c r="E8" s="7" t="s">
        <v>293</v>
      </c>
      <c r="F8" s="7" t="s">
        <v>104</v>
      </c>
      <c r="G8" s="0" t="s">
        <v>294</v>
      </c>
    </row>
    <row r="9" customFormat="false" ht="14.05" hidden="false" customHeight="true" outlineLevel="0" collapsed="false">
      <c r="A9" s="15" t="s">
        <v>295</v>
      </c>
      <c r="B9" s="7" t="s">
        <v>72</v>
      </c>
      <c r="C9" s="7" t="s">
        <v>296</v>
      </c>
      <c r="D9" s="7" t="s">
        <v>297</v>
      </c>
      <c r="E9" s="7" t="s">
        <v>298</v>
      </c>
      <c r="F9" s="7" t="s">
        <v>297</v>
      </c>
      <c r="G9" s="0" t="s">
        <v>299</v>
      </c>
    </row>
    <row r="10" customFormat="false" ht="14.05" hidden="false" customHeight="true" outlineLevel="0" collapsed="false">
      <c r="A10" s="15" t="s">
        <v>300</v>
      </c>
      <c r="B10" s="0" t="s">
        <v>72</v>
      </c>
      <c r="C10" s="5" t="s">
        <v>121</v>
      </c>
      <c r="D10" s="5" t="s">
        <v>122</v>
      </c>
      <c r="E10" s="5" t="s">
        <v>123</v>
      </c>
      <c r="F10" s="5" t="s">
        <v>122</v>
      </c>
      <c r="G10" s="0" t="s">
        <v>124</v>
      </c>
    </row>
    <row r="11" customFormat="false" ht="14.05" hidden="false" customHeight="true" outlineLevel="0" collapsed="false">
      <c r="A11" s="15" t="s">
        <v>301</v>
      </c>
      <c r="B11" s="7" t="s">
        <v>72</v>
      </c>
      <c r="C11" s="7" t="s">
        <v>302</v>
      </c>
      <c r="D11" s="7" t="s">
        <v>264</v>
      </c>
      <c r="E11" s="7" t="s">
        <v>303</v>
      </c>
      <c r="F11" s="7" t="s">
        <v>264</v>
      </c>
      <c r="G11" s="0" t="s">
        <v>304</v>
      </c>
    </row>
    <row r="12" customFormat="false" ht="14.05" hidden="false" customHeight="true" outlineLevel="0" collapsed="false">
      <c r="A12" s="15" t="s">
        <v>102</v>
      </c>
      <c r="B12" s="7" t="s">
        <v>259</v>
      </c>
      <c r="C12" s="7" t="s">
        <v>260</v>
      </c>
      <c r="D12" s="7" t="s">
        <v>103</v>
      </c>
      <c r="E12" s="7" t="s">
        <v>260</v>
      </c>
      <c r="F12" s="7" t="s">
        <v>103</v>
      </c>
      <c r="G12" s="0" t="s">
        <v>305</v>
      </c>
    </row>
    <row r="13" customFormat="false" ht="14.05" hidden="false" customHeight="true" outlineLevel="0" collapsed="false">
      <c r="A13" s="15" t="s">
        <v>306</v>
      </c>
      <c r="B13" s="7" t="s">
        <v>72</v>
      </c>
      <c r="C13" s="7" t="s">
        <v>307</v>
      </c>
      <c r="D13" s="7" t="s">
        <v>308</v>
      </c>
      <c r="E13" s="7" t="s">
        <v>309</v>
      </c>
      <c r="F13" s="7" t="s">
        <v>310</v>
      </c>
      <c r="G13" s="0" t="s">
        <v>311</v>
      </c>
    </row>
    <row r="14" customFormat="false" ht="14.05" hidden="false" customHeight="true" outlineLevel="0" collapsed="false">
      <c r="A14" s="15" t="s">
        <v>312</v>
      </c>
      <c r="B14" s="0" t="s">
        <v>72</v>
      </c>
      <c r="C14" s="5" t="s">
        <v>148</v>
      </c>
      <c r="D14" s="5" t="s">
        <v>149</v>
      </c>
      <c r="E14" s="5" t="s">
        <v>150</v>
      </c>
      <c r="F14" s="5" t="s">
        <v>149</v>
      </c>
      <c r="G14" s="0" t="s">
        <v>151</v>
      </c>
    </row>
    <row r="15" customFormat="false" ht="14.05" hidden="false" customHeight="true" outlineLevel="0" collapsed="false">
      <c r="A15" s="15" t="s">
        <v>269</v>
      </c>
      <c r="B15" s="7" t="s">
        <v>72</v>
      </c>
      <c r="C15" s="7" t="s">
        <v>313</v>
      </c>
      <c r="D15" s="7" t="s">
        <v>264</v>
      </c>
      <c r="E15" s="7" t="s">
        <v>314</v>
      </c>
      <c r="F15" s="7" t="s">
        <v>264</v>
      </c>
      <c r="G15" s="0" t="s">
        <v>315</v>
      </c>
    </row>
    <row r="16" customFormat="false" ht="14.05" hidden="false" customHeight="true" outlineLevel="0" collapsed="false">
      <c r="A16" s="15" t="s">
        <v>316</v>
      </c>
      <c r="B16" s="7" t="s">
        <v>107</v>
      </c>
      <c r="C16" s="7" t="s">
        <v>143</v>
      </c>
      <c r="D16" s="7" t="s">
        <v>317</v>
      </c>
      <c r="E16" s="7" t="s">
        <v>318</v>
      </c>
      <c r="F16" s="7" t="s">
        <v>317</v>
      </c>
      <c r="G16" s="0" t="s">
        <v>319</v>
      </c>
    </row>
    <row r="17" customFormat="false" ht="14.05" hidden="false" customHeight="true" outlineLevel="0" collapsed="false">
      <c r="A17" s="15" t="s">
        <v>125</v>
      </c>
      <c r="B17" s="7" t="s">
        <v>111</v>
      </c>
      <c r="C17" s="7" t="s">
        <v>320</v>
      </c>
      <c r="D17" s="7" t="s">
        <v>321</v>
      </c>
      <c r="E17" s="7" t="s">
        <v>322</v>
      </c>
      <c r="F17" s="7" t="s">
        <v>323</v>
      </c>
      <c r="G17" s="0" t="s">
        <v>324</v>
      </c>
    </row>
    <row r="18" customFormat="false" ht="12.85" hidden="false" customHeight="true" outlineLevel="0" collapsed="false">
      <c r="A18" s="0" t="s">
        <v>131</v>
      </c>
      <c r="B18" s="0" t="s">
        <v>72</v>
      </c>
      <c r="C18" s="16" t="n">
        <v>51</v>
      </c>
      <c r="D18" s="16" t="s">
        <v>325</v>
      </c>
      <c r="E18" s="16" t="n">
        <v>84</v>
      </c>
      <c r="F18" s="16" t="s">
        <v>325</v>
      </c>
      <c r="G18" s="0" t="s">
        <v>326</v>
      </c>
    </row>
    <row r="19" customFormat="false" ht="12.85" hidden="false" customHeight="true" outlineLevel="0" collapsed="false">
      <c r="A19" s="0" t="s">
        <v>142</v>
      </c>
      <c r="B19" s="0" t="s">
        <v>327</v>
      </c>
      <c r="C19" s="16" t="n">
        <v>99</v>
      </c>
      <c r="D19" s="16" t="s">
        <v>328</v>
      </c>
      <c r="E19" s="16" t="n">
        <v>258</v>
      </c>
      <c r="F19" s="16" t="s">
        <v>167</v>
      </c>
      <c r="G19" s="0" t="s">
        <v>329</v>
      </c>
    </row>
    <row r="20" customFormat="false" ht="12.85" hidden="false" customHeight="true" outlineLevel="0" collapsed="false">
      <c r="A20" s="0" t="s">
        <v>147</v>
      </c>
      <c r="B20" s="0" t="s">
        <v>72</v>
      </c>
      <c r="C20" s="16" t="n">
        <v>24</v>
      </c>
      <c r="D20" s="16" t="s">
        <v>330</v>
      </c>
      <c r="E20" s="16" t="n">
        <v>37</v>
      </c>
      <c r="F20" s="16" t="s">
        <v>330</v>
      </c>
      <c r="G20" s="0" t="s">
        <v>331</v>
      </c>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1.xml><?xml version="1.0" encoding="utf-8"?>
<worksheet xmlns="http://schemas.openxmlformats.org/spreadsheetml/2006/main" xmlns:r="http://schemas.openxmlformats.org/officeDocument/2006/relationships">
  <sheetPr filterMode="false">
    <pageSetUpPr fitToPage="false"/>
  </sheetPr>
  <dimension ref="A1:B9"/>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C6" activeCellId="0" sqref="C6"/>
    </sheetView>
  </sheetViews>
  <sheetFormatPr defaultRowHeight="12.85"/>
  <cols>
    <col collapsed="false" hidden="false" max="1" min="1" style="0" width="15.6071428571429"/>
    <col collapsed="false" hidden="false" max="2" min="2" style="0" width="15.1377551020408"/>
    <col collapsed="false" hidden="false" max="1025" min="3" style="0" width="11.5204081632653"/>
  </cols>
  <sheetData>
    <row r="1" customFormat="false" ht="12.85" hidden="false" customHeight="true" outlineLevel="0" collapsed="false">
      <c r="A1" s="0" t="s">
        <v>332</v>
      </c>
    </row>
    <row r="3" customFormat="false" ht="12.85" hidden="false" customHeight="true" outlineLevel="0" collapsed="false">
      <c r="A3" s="0" t="s">
        <v>333</v>
      </c>
      <c r="B3" s="0" t="s">
        <v>334</v>
      </c>
    </row>
    <row r="4" customFormat="false" ht="12.85" hidden="false" customHeight="true" outlineLevel="0" collapsed="false">
      <c r="A4" s="0" t="s">
        <v>335</v>
      </c>
      <c r="B4" s="17" t="n">
        <f aca="false">(2.11*ht)-(2.29*wt)-(5.78*age)+667</f>
        <v>543.85</v>
      </c>
    </row>
    <row r="5" customFormat="false" ht="12.85" hidden="false" customHeight="true" outlineLevel="0" collapsed="false">
      <c r="A5" s="0" t="s">
        <v>336</v>
      </c>
      <c r="B5" s="17" t="n">
        <f aca="false">361-(age*4)+(ht*2)+(73*3)-(wt*1.5)-30</f>
        <v>557.5</v>
      </c>
    </row>
    <row r="6" customFormat="false" ht="14.85" hidden="false" customHeight="true" outlineLevel="0" collapsed="false">
      <c r="A6" s="0" t="s">
        <v>59</v>
      </c>
      <c r="B6" s="17" t="n">
        <f aca="false">518.853+(0.125*ht)-(2.816*age)-39.07</f>
        <v>358.983</v>
      </c>
    </row>
    <row r="7" customFormat="false" ht="12.85" hidden="false" customHeight="true" outlineLevel="0" collapsed="false">
      <c r="A7" s="0" t="s">
        <v>337</v>
      </c>
      <c r="B7" s="17" t="n">
        <f aca="false">(2.81*ht)-(0.79*age)-28.5</f>
        <v>381.6</v>
      </c>
    </row>
    <row r="8" customFormat="false" ht="12.85" hidden="false" customHeight="true" outlineLevel="0" collapsed="false">
      <c r="A8" s="0" t="s">
        <v>338</v>
      </c>
      <c r="B8" s="17" t="n">
        <f aca="false">(622.461-(1.846*age))</f>
        <v>530.161</v>
      </c>
    </row>
    <row r="9" customFormat="false" ht="12.85" hidden="false" customHeight="true" outlineLevel="0" collapsed="false">
      <c r="A9" s="0" t="s">
        <v>62</v>
      </c>
      <c r="B9" s="0" t="n">
        <f aca="false">218+(5.14*ht)-(5.32*age)-(1.8*wt)</f>
        <v>639.4</v>
      </c>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2.xml><?xml version="1.0" encoding="utf-8"?>
<worksheet xmlns="http://schemas.openxmlformats.org/spreadsheetml/2006/main" xmlns:r="http://schemas.openxmlformats.org/officeDocument/2006/relationships">
  <sheetPr filterMode="false">
    <pageSetUpPr fitToPage="false"/>
  </sheetPr>
  <dimension ref="A1:B9"/>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A4" activeCellId="0" sqref="A4"/>
    </sheetView>
  </sheetViews>
  <sheetFormatPr defaultRowHeight="12.85"/>
  <cols>
    <col collapsed="false" hidden="false" max="1" min="1" style="0" width="16.5510204081633"/>
    <col collapsed="false" hidden="false" max="2" min="2" style="0" width="14.7602040816327"/>
    <col collapsed="false" hidden="false" max="1025" min="3" style="0" width="11.5204081632653"/>
  </cols>
  <sheetData>
    <row r="1" customFormat="false" ht="12.85" hidden="false" customHeight="true" outlineLevel="0" collapsed="false">
      <c r="A1" s="0" t="s">
        <v>339</v>
      </c>
    </row>
    <row r="3" customFormat="false" ht="12.85" hidden="false" customHeight="true" outlineLevel="0" collapsed="false">
      <c r="A3" s="0" t="s">
        <v>54</v>
      </c>
      <c r="B3" s="0" t="s">
        <v>334</v>
      </c>
    </row>
    <row r="4" customFormat="false" ht="12.85" hidden="false" customHeight="true" outlineLevel="0" collapsed="false">
      <c r="A4" s="0" t="s">
        <v>335</v>
      </c>
      <c r="B4" s="17" t="n">
        <f aca="false">(7.57*ht)-(5.02*age)-(1.76*wt)-309</f>
        <v>519.2</v>
      </c>
    </row>
    <row r="5" customFormat="false" ht="12.85" hidden="false" customHeight="true" outlineLevel="0" collapsed="false">
      <c r="A5" s="0" t="s">
        <v>336</v>
      </c>
      <c r="B5" s="17" t="n">
        <f aca="false">361-(age*4)+(ht*2)+(73*3)-(wt*1.5)</f>
        <v>587.5</v>
      </c>
    </row>
    <row r="6" customFormat="false" ht="12.85" hidden="false" customHeight="true" outlineLevel="0" collapsed="false">
      <c r="A6" s="0" t="s">
        <v>59</v>
      </c>
      <c r="B6" s="17" t="n">
        <f aca="false">518.853+(0.125*ht)-(2.816*age)</f>
        <v>398.053</v>
      </c>
    </row>
    <row r="7" customFormat="false" ht="12.85" hidden="false" customHeight="true" outlineLevel="0" collapsed="false">
      <c r="A7" s="0" t="s">
        <v>337</v>
      </c>
      <c r="B7" s="17" t="n">
        <f aca="false">(2.81*ht)-(0.79*age)-28.5</f>
        <v>381.6</v>
      </c>
    </row>
    <row r="8" customFormat="false" ht="12.85" hidden="false" customHeight="true" outlineLevel="0" collapsed="false">
      <c r="A8" s="0" t="s">
        <v>338</v>
      </c>
      <c r="B8" s="17" t="n">
        <f aca="false">(622.461-(1.846*age)+(61.503))</f>
        <v>591.664</v>
      </c>
    </row>
    <row r="9" customFormat="false" ht="12.85" hidden="false" customHeight="true" outlineLevel="0" collapsed="false">
      <c r="A9" s="0" t="s">
        <v>62</v>
      </c>
      <c r="B9" s="17" t="n">
        <f aca="false">218+(5.14*ht)-(5.32*age)-(1.8*wt)+51.31</f>
        <v>690.71</v>
      </c>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13.xml><?xml version="1.0" encoding="utf-8"?>
<worksheet xmlns="http://schemas.openxmlformats.org/spreadsheetml/2006/main" xmlns:r="http://schemas.openxmlformats.org/officeDocument/2006/relationships">
  <sheetPr filterMode="false">
    <pageSetUpPr fitToPage="false"/>
  </sheetPr>
  <dimension ref="A3:G9"/>
  <sheetViews>
    <sheetView windowProtection="false" showFormulas="false" showGridLines="true" showRowColHeaders="true" showZeros="true" rightToLeft="false" tabSelected="false" showOutlineSymbols="true" defaultGridColor="true" view="normal" topLeftCell="A1" colorId="64" zoomScale="150" zoomScaleNormal="150" zoomScalePageLayoutView="100" workbookViewId="0">
      <selection pane="topLeft" activeCell="B16" activeCellId="0" sqref="B16"/>
    </sheetView>
  </sheetViews>
  <sheetFormatPr defaultRowHeight="12.85"/>
  <cols>
    <col collapsed="false" hidden="false" max="1025" min="1" style="0" width="11.5204081632653"/>
  </cols>
  <sheetData>
    <row r="3" customFormat="false" ht="12.85" hidden="false" customHeight="true" outlineLevel="0" collapsed="false">
      <c r="A3" s="10"/>
      <c r="B3" s="10" t="s">
        <v>66</v>
      </c>
      <c r="C3" s="10" t="s">
        <v>67</v>
      </c>
      <c r="D3" s="10" t="s">
        <v>68</v>
      </c>
      <c r="E3" s="10" t="s">
        <v>69</v>
      </c>
      <c r="F3" s="10" t="s">
        <v>70</v>
      </c>
      <c r="G3" s="10"/>
    </row>
    <row r="4" customFormat="false" ht="15.4" hidden="false" customHeight="true" outlineLevel="0" collapsed="false">
      <c r="A4" s="10" t="s">
        <v>71</v>
      </c>
      <c r="B4" s="10" t="s">
        <v>283</v>
      </c>
      <c r="C4" s="10" t="n">
        <v>173</v>
      </c>
      <c r="D4" s="10" t="s">
        <v>340</v>
      </c>
      <c r="E4" s="10" t="n">
        <v>117</v>
      </c>
      <c r="F4" s="10" t="s">
        <v>341</v>
      </c>
      <c r="G4" s="18" t="s">
        <v>342</v>
      </c>
    </row>
    <row r="5" customFormat="false" ht="13.9" hidden="false" customHeight="true" outlineLevel="0" collapsed="false">
      <c r="A5" s="10" t="s">
        <v>77</v>
      </c>
      <c r="B5" s="10" t="s">
        <v>283</v>
      </c>
      <c r="C5" s="10" t="s">
        <v>128</v>
      </c>
      <c r="D5" s="10" t="s">
        <v>343</v>
      </c>
      <c r="E5" s="10" t="s">
        <v>344</v>
      </c>
      <c r="F5" s="10" t="s">
        <v>343</v>
      </c>
      <c r="G5" s="6" t="s">
        <v>345</v>
      </c>
    </row>
    <row r="6" customFormat="false" ht="13.9" hidden="false" customHeight="true" outlineLevel="0" collapsed="false">
      <c r="A6" s="10" t="s">
        <v>80</v>
      </c>
      <c r="B6" s="10" t="s">
        <v>72</v>
      </c>
      <c r="C6" s="10" t="s">
        <v>346</v>
      </c>
      <c r="D6" s="10" t="s">
        <v>347</v>
      </c>
      <c r="E6" s="10" t="s">
        <v>348</v>
      </c>
      <c r="F6" s="10" t="s">
        <v>347</v>
      </c>
      <c r="G6" s="6" t="s">
        <v>349</v>
      </c>
    </row>
    <row r="7" customFormat="false" ht="13.9" hidden="false" customHeight="true" outlineLevel="0" collapsed="false">
      <c r="A7" s="10" t="s">
        <v>83</v>
      </c>
      <c r="B7" s="10" t="s">
        <v>166</v>
      </c>
      <c r="C7" s="10" t="s">
        <v>350</v>
      </c>
      <c r="D7" s="10" t="s">
        <v>351</v>
      </c>
      <c r="E7" s="10" t="s">
        <v>352</v>
      </c>
      <c r="F7" s="10" t="s">
        <v>351</v>
      </c>
      <c r="G7" s="6" t="s">
        <v>353</v>
      </c>
    </row>
    <row r="8" customFormat="false" ht="13.9" hidden="false" customHeight="true" outlineLevel="0" collapsed="false">
      <c r="A8" s="10" t="s">
        <v>86</v>
      </c>
      <c r="B8" s="10" t="s">
        <v>259</v>
      </c>
      <c r="C8" s="10" t="s">
        <v>354</v>
      </c>
      <c r="D8" s="10" t="s">
        <v>355</v>
      </c>
      <c r="E8" s="10" t="s">
        <v>356</v>
      </c>
      <c r="F8" s="10" t="s">
        <v>355</v>
      </c>
      <c r="G8" s="6" t="s">
        <v>357</v>
      </c>
    </row>
    <row r="9" customFormat="false" ht="13.9" hidden="false" customHeight="true" outlineLevel="0" collapsed="false">
      <c r="A9" s="10" t="s">
        <v>90</v>
      </c>
      <c r="B9" s="10" t="s">
        <v>72</v>
      </c>
      <c r="C9" s="10" t="s">
        <v>358</v>
      </c>
      <c r="D9" s="10" t="s">
        <v>359</v>
      </c>
      <c r="E9" s="10" t="s">
        <v>360</v>
      </c>
      <c r="F9" s="10" t="s">
        <v>359</v>
      </c>
      <c r="G9" s="6" t="s">
        <v>361</v>
      </c>
    </row>
  </sheetData>
  <printOptions headings="false" gridLines="false" gridLinesSet="true" horizontalCentered="false" verticalCentered="false"/>
  <pageMargins left="0.7875" right="0.7875" top="1.025" bottom="1.025" header="0.7875" footer="0.787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20620</TotalTime>
  <Application>LibreOffice/5.2.1.2$Windows_x86 LibreOffice_project/31dd62db80d4e60af04904455ec9c9219178d620</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2013-12-31T14:29:35Z</dcterms:created>
  <dc:creator/>
  <dc:description/>
  <dc:language>en-US</dc:language>
  <cp:lastModifiedBy/>
  <dcterms:modified xsi:type="dcterms:W3CDTF">2016-11-18T15:34:46Z</dcterms:modified>
  <cp:revision>130</cp:revision>
  <dc:subject/>
  <dc:title/>
</cp:coreProperties>
</file>